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Виктор\Desktop\Сметы с 01.01.2026 по 30.04.2026\Сметы с 01.01.2026 по 30.04.2026\"/>
    </mc:Choice>
  </mc:AlternateContent>
  <xr:revisionPtr revIDLastSave="0" documentId="13_ncr:1_{3DC369E3-1713-469C-B86C-50CBF4B11CFA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Смета СН-2012 по гл. 1-5" sheetId="7" r:id="rId1"/>
    <sheet name="Акт КС-2 СН-2012 по гл. 1-" sheetId="8" r:id="rId2"/>
    <sheet name="Source" sheetId="1" r:id="rId3"/>
    <sheet name="SourceObSm" sheetId="2" r:id="rId4"/>
    <sheet name="SmtRes" sheetId="3" r:id="rId5"/>
    <sheet name="EtalonRes" sheetId="4" r:id="rId6"/>
    <sheet name="SrcPoprs" sheetId="5" r:id="rId7"/>
    <sheet name="SrcKA" sheetId="6" r:id="rId8"/>
  </sheets>
  <definedNames>
    <definedName name="_xlnm.Print_Titles" localSheetId="1">'Акт КС-2 СН-2012 по гл. 1-'!$36:$36</definedName>
    <definedName name="_xlnm.Print_Titles" localSheetId="0">'Смета СН-2012 по гл. 1-5'!$30:$30</definedName>
    <definedName name="_xlnm.Print_Area" localSheetId="1">'Акт КС-2 СН-2012 по гл. 1-'!$A$1:$L$945</definedName>
    <definedName name="_xlnm.Print_Area" localSheetId="0">'Смета СН-2012 по гл. 1-5'!$A$1:$K$938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05" i="1" l="1"/>
  <c r="A1" i="7"/>
  <c r="B6" i="7"/>
  <c r="G6" i="7"/>
  <c r="A10" i="7"/>
  <c r="A15" i="7"/>
  <c r="A18" i="7"/>
  <c r="A32" i="7"/>
  <c r="A34" i="7"/>
  <c r="AE34" i="7"/>
  <c r="A36" i="7"/>
  <c r="B37" i="7"/>
  <c r="C37" i="7"/>
  <c r="D37" i="7"/>
  <c r="F39" i="7"/>
  <c r="G39" i="7"/>
  <c r="H39" i="7"/>
  <c r="I39" i="7"/>
  <c r="E40" i="7"/>
  <c r="E41" i="7"/>
  <c r="E42" i="7"/>
  <c r="G42" i="7"/>
  <c r="H42" i="7"/>
  <c r="B44" i="7"/>
  <c r="C44" i="7"/>
  <c r="D44" i="7"/>
  <c r="F46" i="7"/>
  <c r="G46" i="7"/>
  <c r="H46" i="7"/>
  <c r="I46" i="7"/>
  <c r="F47" i="7"/>
  <c r="G47" i="7"/>
  <c r="H47" i="7"/>
  <c r="I47" i="7"/>
  <c r="F48" i="7"/>
  <c r="G48" i="7"/>
  <c r="H48" i="7"/>
  <c r="I48" i="7"/>
  <c r="F49" i="7"/>
  <c r="G49" i="7"/>
  <c r="H49" i="7"/>
  <c r="I49" i="7"/>
  <c r="E50" i="7"/>
  <c r="E51" i="7"/>
  <c r="E52" i="7"/>
  <c r="E53" i="7"/>
  <c r="G53" i="7"/>
  <c r="H53" i="7"/>
  <c r="B55" i="7"/>
  <c r="C55" i="7"/>
  <c r="D55" i="7"/>
  <c r="F57" i="7"/>
  <c r="G57" i="7"/>
  <c r="H57" i="7"/>
  <c r="I57" i="7"/>
  <c r="F58" i="7"/>
  <c r="G58" i="7"/>
  <c r="H58" i="7"/>
  <c r="I58" i="7"/>
  <c r="F59" i="7"/>
  <c r="G59" i="7"/>
  <c r="H59" i="7"/>
  <c r="I59" i="7"/>
  <c r="E60" i="7"/>
  <c r="E61" i="7"/>
  <c r="E62" i="7"/>
  <c r="E63" i="7"/>
  <c r="G63" i="7"/>
  <c r="H63" i="7"/>
  <c r="B65" i="7"/>
  <c r="C65" i="7"/>
  <c r="D65" i="7"/>
  <c r="F67" i="7"/>
  <c r="G67" i="7"/>
  <c r="H67" i="7"/>
  <c r="I67" i="7"/>
  <c r="F68" i="7"/>
  <c r="G68" i="7"/>
  <c r="H68" i="7"/>
  <c r="I68" i="7"/>
  <c r="F69" i="7"/>
  <c r="G69" i="7"/>
  <c r="H69" i="7"/>
  <c r="I69" i="7"/>
  <c r="F70" i="7"/>
  <c r="G70" i="7"/>
  <c r="H70" i="7"/>
  <c r="I70" i="7"/>
  <c r="E71" i="7"/>
  <c r="E72" i="7"/>
  <c r="E73" i="7"/>
  <c r="E74" i="7"/>
  <c r="G74" i="7"/>
  <c r="H74" i="7"/>
  <c r="B76" i="7"/>
  <c r="C76" i="7"/>
  <c r="D76" i="7"/>
  <c r="F78" i="7"/>
  <c r="G78" i="7"/>
  <c r="H78" i="7"/>
  <c r="I78" i="7"/>
  <c r="F79" i="7"/>
  <c r="G79" i="7"/>
  <c r="H79" i="7"/>
  <c r="I79" i="7"/>
  <c r="F80" i="7"/>
  <c r="G80" i="7"/>
  <c r="H80" i="7"/>
  <c r="I80" i="7"/>
  <c r="F81" i="7"/>
  <c r="G81" i="7"/>
  <c r="H81" i="7"/>
  <c r="I81" i="7"/>
  <c r="E82" i="7"/>
  <c r="E83" i="7"/>
  <c r="E84" i="7"/>
  <c r="E85" i="7"/>
  <c r="G85" i="7"/>
  <c r="H85" i="7"/>
  <c r="B87" i="7"/>
  <c r="C87" i="7"/>
  <c r="D87" i="7"/>
  <c r="F89" i="7"/>
  <c r="G89" i="7"/>
  <c r="H89" i="7"/>
  <c r="I89" i="7"/>
  <c r="F90" i="7"/>
  <c r="G90" i="7"/>
  <c r="H90" i="7"/>
  <c r="I90" i="7"/>
  <c r="F91" i="7"/>
  <c r="G91" i="7"/>
  <c r="H91" i="7"/>
  <c r="I91" i="7"/>
  <c r="F92" i="7"/>
  <c r="G92" i="7"/>
  <c r="H92" i="7"/>
  <c r="I92" i="7"/>
  <c r="E93" i="7"/>
  <c r="E94" i="7"/>
  <c r="E95" i="7"/>
  <c r="E96" i="7"/>
  <c r="G96" i="7"/>
  <c r="H96" i="7"/>
  <c r="B98" i="7"/>
  <c r="C98" i="7"/>
  <c r="D98" i="7"/>
  <c r="F100" i="7"/>
  <c r="G100" i="7"/>
  <c r="H100" i="7"/>
  <c r="I100" i="7"/>
  <c r="E101" i="7"/>
  <c r="E102" i="7"/>
  <c r="E103" i="7"/>
  <c r="G103" i="7"/>
  <c r="H103" i="7"/>
  <c r="B105" i="7"/>
  <c r="C105" i="7"/>
  <c r="D105" i="7"/>
  <c r="F107" i="7"/>
  <c r="G107" i="7"/>
  <c r="H107" i="7"/>
  <c r="I107" i="7"/>
  <c r="F108" i="7"/>
  <c r="G108" i="7"/>
  <c r="H108" i="7"/>
  <c r="I108" i="7"/>
  <c r="F109" i="7"/>
  <c r="G109" i="7"/>
  <c r="H109" i="7"/>
  <c r="I109" i="7"/>
  <c r="E110" i="7"/>
  <c r="E111" i="7"/>
  <c r="E112" i="7"/>
  <c r="E113" i="7"/>
  <c r="G113" i="7"/>
  <c r="H113" i="7"/>
  <c r="B115" i="7"/>
  <c r="C115" i="7"/>
  <c r="D115" i="7"/>
  <c r="F117" i="7"/>
  <c r="G117" i="7"/>
  <c r="H117" i="7"/>
  <c r="I117" i="7"/>
  <c r="E118" i="7"/>
  <c r="E119" i="7"/>
  <c r="E120" i="7"/>
  <c r="G120" i="7"/>
  <c r="H120" i="7"/>
  <c r="B122" i="7"/>
  <c r="C122" i="7"/>
  <c r="D122" i="7"/>
  <c r="F124" i="7"/>
  <c r="G124" i="7"/>
  <c r="H124" i="7"/>
  <c r="I124" i="7"/>
  <c r="F125" i="7"/>
  <c r="G125" i="7"/>
  <c r="H125" i="7"/>
  <c r="I125" i="7"/>
  <c r="E126" i="7"/>
  <c r="E127" i="7"/>
  <c r="E128" i="7"/>
  <c r="G128" i="7"/>
  <c r="H128" i="7"/>
  <c r="B130" i="7"/>
  <c r="C130" i="7"/>
  <c r="D130" i="7"/>
  <c r="F132" i="7"/>
  <c r="G132" i="7"/>
  <c r="H132" i="7"/>
  <c r="I132" i="7"/>
  <c r="E133" i="7"/>
  <c r="E134" i="7"/>
  <c r="E135" i="7"/>
  <c r="G135" i="7"/>
  <c r="H135" i="7"/>
  <c r="A141" i="7"/>
  <c r="B142" i="7"/>
  <c r="C142" i="7"/>
  <c r="D142" i="7"/>
  <c r="F144" i="7"/>
  <c r="G144" i="7"/>
  <c r="H144" i="7"/>
  <c r="I144" i="7"/>
  <c r="F145" i="7"/>
  <c r="G145" i="7"/>
  <c r="H145" i="7"/>
  <c r="I145" i="7"/>
  <c r="F146" i="7"/>
  <c r="G146" i="7"/>
  <c r="H146" i="7"/>
  <c r="I146" i="7"/>
  <c r="E147" i="7"/>
  <c r="E148" i="7"/>
  <c r="E149" i="7"/>
  <c r="G149" i="7"/>
  <c r="H149" i="7"/>
  <c r="A155" i="7"/>
  <c r="B156" i="7"/>
  <c r="C156" i="7"/>
  <c r="D156" i="7"/>
  <c r="F158" i="7"/>
  <c r="G158" i="7"/>
  <c r="H158" i="7"/>
  <c r="I158" i="7"/>
  <c r="E159" i="7"/>
  <c r="E160" i="7"/>
  <c r="E161" i="7"/>
  <c r="G161" i="7"/>
  <c r="H161" i="7"/>
  <c r="B163" i="7"/>
  <c r="C163" i="7"/>
  <c r="D163" i="7"/>
  <c r="F165" i="7"/>
  <c r="G165" i="7"/>
  <c r="H165" i="7"/>
  <c r="I165" i="7"/>
  <c r="F166" i="7"/>
  <c r="G166" i="7"/>
  <c r="H166" i="7"/>
  <c r="I166" i="7"/>
  <c r="F167" i="7"/>
  <c r="G167" i="7"/>
  <c r="H167" i="7"/>
  <c r="I167" i="7"/>
  <c r="F168" i="7"/>
  <c r="G168" i="7"/>
  <c r="H168" i="7"/>
  <c r="I168" i="7"/>
  <c r="E169" i="7"/>
  <c r="E170" i="7"/>
  <c r="E171" i="7"/>
  <c r="E172" i="7"/>
  <c r="G172" i="7"/>
  <c r="H172" i="7"/>
  <c r="B174" i="7"/>
  <c r="C174" i="7"/>
  <c r="D174" i="7"/>
  <c r="F176" i="7"/>
  <c r="G176" i="7"/>
  <c r="H176" i="7"/>
  <c r="I176" i="7"/>
  <c r="F177" i="7"/>
  <c r="G177" i="7"/>
  <c r="H177" i="7"/>
  <c r="I177" i="7"/>
  <c r="F178" i="7"/>
  <c r="G178" i="7"/>
  <c r="H178" i="7"/>
  <c r="I178" i="7"/>
  <c r="F179" i="7"/>
  <c r="G179" i="7"/>
  <c r="H179" i="7"/>
  <c r="I179" i="7"/>
  <c r="E180" i="7"/>
  <c r="E181" i="7"/>
  <c r="E182" i="7"/>
  <c r="E183" i="7"/>
  <c r="G183" i="7"/>
  <c r="H183" i="7"/>
  <c r="A189" i="7"/>
  <c r="B191" i="7"/>
  <c r="B192" i="7"/>
  <c r="C192" i="7"/>
  <c r="D192" i="7"/>
  <c r="F194" i="7"/>
  <c r="G194" i="7"/>
  <c r="H194" i="7"/>
  <c r="I194" i="7"/>
  <c r="F195" i="7"/>
  <c r="G195" i="7"/>
  <c r="H195" i="7"/>
  <c r="I195" i="7"/>
  <c r="E196" i="7"/>
  <c r="E197" i="7"/>
  <c r="E198" i="7"/>
  <c r="G198" i="7"/>
  <c r="H198" i="7"/>
  <c r="B200" i="7"/>
  <c r="C200" i="7"/>
  <c r="D200" i="7"/>
  <c r="F202" i="7"/>
  <c r="G202" i="7"/>
  <c r="H202" i="7"/>
  <c r="I202" i="7"/>
  <c r="F203" i="7"/>
  <c r="G203" i="7"/>
  <c r="H203" i="7"/>
  <c r="I203" i="7"/>
  <c r="E204" i="7"/>
  <c r="E205" i="7"/>
  <c r="E206" i="7"/>
  <c r="G206" i="7"/>
  <c r="H206" i="7"/>
  <c r="B208" i="7"/>
  <c r="C208" i="7"/>
  <c r="D208" i="7"/>
  <c r="F210" i="7"/>
  <c r="G210" i="7"/>
  <c r="H210" i="7"/>
  <c r="I210" i="7"/>
  <c r="F211" i="7"/>
  <c r="G211" i="7"/>
  <c r="H211" i="7"/>
  <c r="I211" i="7"/>
  <c r="E212" i="7"/>
  <c r="E213" i="7"/>
  <c r="E214" i="7"/>
  <c r="G214" i="7"/>
  <c r="H214" i="7"/>
  <c r="B216" i="7"/>
  <c r="C216" i="7"/>
  <c r="D216" i="7"/>
  <c r="F218" i="7"/>
  <c r="G218" i="7"/>
  <c r="H218" i="7"/>
  <c r="I218" i="7"/>
  <c r="F219" i="7"/>
  <c r="G219" i="7"/>
  <c r="H219" i="7"/>
  <c r="I219" i="7"/>
  <c r="E220" i="7"/>
  <c r="E221" i="7"/>
  <c r="E222" i="7"/>
  <c r="G222" i="7"/>
  <c r="H222" i="7"/>
  <c r="B224" i="7"/>
  <c r="C224" i="7"/>
  <c r="D224" i="7"/>
  <c r="F226" i="7"/>
  <c r="G226" i="7"/>
  <c r="H226" i="7"/>
  <c r="I226" i="7"/>
  <c r="F227" i="7"/>
  <c r="G227" i="7"/>
  <c r="H227" i="7"/>
  <c r="I227" i="7"/>
  <c r="E228" i="7"/>
  <c r="E229" i="7"/>
  <c r="E230" i="7"/>
  <c r="G230" i="7"/>
  <c r="H230" i="7"/>
  <c r="B233" i="7"/>
  <c r="D234" i="7"/>
  <c r="F236" i="7"/>
  <c r="G236" i="7"/>
  <c r="H236" i="7"/>
  <c r="I236" i="7"/>
  <c r="F237" i="7"/>
  <c r="G237" i="7"/>
  <c r="H237" i="7"/>
  <c r="I237" i="7"/>
  <c r="E238" i="7"/>
  <c r="E239" i="7"/>
  <c r="E240" i="7"/>
  <c r="G240" i="7"/>
  <c r="H240" i="7"/>
  <c r="D242" i="7"/>
  <c r="F244" i="7"/>
  <c r="G244" i="7"/>
  <c r="H244" i="7"/>
  <c r="I244" i="7"/>
  <c r="F245" i="7"/>
  <c r="G245" i="7"/>
  <c r="H245" i="7"/>
  <c r="I245" i="7"/>
  <c r="E246" i="7"/>
  <c r="E247" i="7"/>
  <c r="E248" i="7"/>
  <c r="G248" i="7"/>
  <c r="H248" i="7"/>
  <c r="B251" i="7"/>
  <c r="B252" i="7"/>
  <c r="C252" i="7"/>
  <c r="D252" i="7"/>
  <c r="F254" i="7"/>
  <c r="G254" i="7"/>
  <c r="H254" i="7"/>
  <c r="I254" i="7"/>
  <c r="F255" i="7"/>
  <c r="G255" i="7"/>
  <c r="H255" i="7"/>
  <c r="I255" i="7"/>
  <c r="F256" i="7"/>
  <c r="G256" i="7"/>
  <c r="H256" i="7"/>
  <c r="I256" i="7"/>
  <c r="F257" i="7"/>
  <c r="G257" i="7"/>
  <c r="H257" i="7"/>
  <c r="I257" i="7"/>
  <c r="E258" i="7"/>
  <c r="E259" i="7"/>
  <c r="E260" i="7"/>
  <c r="E261" i="7"/>
  <c r="G261" i="7"/>
  <c r="H261" i="7"/>
  <c r="B263" i="7"/>
  <c r="C263" i="7"/>
  <c r="D263" i="7"/>
  <c r="F265" i="7"/>
  <c r="G265" i="7"/>
  <c r="H265" i="7"/>
  <c r="I265" i="7"/>
  <c r="F266" i="7"/>
  <c r="G266" i="7"/>
  <c r="H266" i="7"/>
  <c r="I266" i="7"/>
  <c r="E267" i="7"/>
  <c r="E268" i="7"/>
  <c r="E269" i="7"/>
  <c r="G269" i="7"/>
  <c r="H269" i="7"/>
  <c r="B272" i="7"/>
  <c r="B273" i="7"/>
  <c r="C273" i="7"/>
  <c r="D273" i="7"/>
  <c r="F275" i="7"/>
  <c r="G275" i="7"/>
  <c r="H275" i="7"/>
  <c r="I275" i="7"/>
  <c r="F276" i="7"/>
  <c r="G276" i="7"/>
  <c r="H276" i="7"/>
  <c r="I276" i="7"/>
  <c r="E277" i="7"/>
  <c r="E278" i="7"/>
  <c r="E279" i="7"/>
  <c r="G279" i="7"/>
  <c r="H279" i="7"/>
  <c r="B281" i="7"/>
  <c r="C281" i="7"/>
  <c r="D281" i="7"/>
  <c r="F283" i="7"/>
  <c r="G283" i="7"/>
  <c r="H283" i="7"/>
  <c r="I283" i="7"/>
  <c r="F284" i="7"/>
  <c r="G284" i="7"/>
  <c r="H284" i="7"/>
  <c r="I284" i="7"/>
  <c r="E285" i="7"/>
  <c r="E286" i="7"/>
  <c r="E287" i="7"/>
  <c r="G287" i="7"/>
  <c r="H287" i="7"/>
  <c r="B290" i="7"/>
  <c r="B291" i="7"/>
  <c r="C291" i="7"/>
  <c r="D291" i="7"/>
  <c r="F293" i="7"/>
  <c r="G293" i="7"/>
  <c r="H293" i="7"/>
  <c r="I293" i="7"/>
  <c r="F294" i="7"/>
  <c r="G294" i="7"/>
  <c r="H294" i="7"/>
  <c r="I294" i="7"/>
  <c r="E295" i="7"/>
  <c r="E296" i="7"/>
  <c r="E297" i="7"/>
  <c r="G297" i="7"/>
  <c r="H297" i="7"/>
  <c r="B299" i="7"/>
  <c r="C299" i="7"/>
  <c r="D299" i="7"/>
  <c r="F301" i="7"/>
  <c r="G301" i="7"/>
  <c r="H301" i="7"/>
  <c r="I301" i="7"/>
  <c r="F302" i="7"/>
  <c r="G302" i="7"/>
  <c r="H302" i="7"/>
  <c r="I302" i="7"/>
  <c r="E303" i="7"/>
  <c r="E304" i="7"/>
  <c r="E305" i="7"/>
  <c r="G305" i="7"/>
  <c r="H305" i="7"/>
  <c r="A314" i="7"/>
  <c r="AE314" i="7"/>
  <c r="A316" i="7"/>
  <c r="B317" i="7"/>
  <c r="C317" i="7"/>
  <c r="D317" i="7"/>
  <c r="F319" i="7"/>
  <c r="G319" i="7"/>
  <c r="H319" i="7"/>
  <c r="I319" i="7"/>
  <c r="F320" i="7"/>
  <c r="G320" i="7"/>
  <c r="H320" i="7"/>
  <c r="I320" i="7"/>
  <c r="F321" i="7"/>
  <c r="G321" i="7"/>
  <c r="H321" i="7"/>
  <c r="I321" i="7"/>
  <c r="F322" i="7"/>
  <c r="G322" i="7"/>
  <c r="H322" i="7"/>
  <c r="I322" i="7"/>
  <c r="E323" i="7"/>
  <c r="E324" i="7"/>
  <c r="E325" i="7"/>
  <c r="E326" i="7"/>
  <c r="G326" i="7"/>
  <c r="H326" i="7"/>
  <c r="B328" i="7"/>
  <c r="C328" i="7"/>
  <c r="D328" i="7"/>
  <c r="F330" i="7"/>
  <c r="G330" i="7"/>
  <c r="H330" i="7"/>
  <c r="I330" i="7"/>
  <c r="F331" i="7"/>
  <c r="G331" i="7"/>
  <c r="H331" i="7"/>
  <c r="I331" i="7"/>
  <c r="F332" i="7"/>
  <c r="G332" i="7"/>
  <c r="H332" i="7"/>
  <c r="I332" i="7"/>
  <c r="F333" i="7"/>
  <c r="G333" i="7"/>
  <c r="H333" i="7"/>
  <c r="I333" i="7"/>
  <c r="E334" i="7"/>
  <c r="E335" i="7"/>
  <c r="E336" i="7"/>
  <c r="E337" i="7"/>
  <c r="G337" i="7"/>
  <c r="H337" i="7"/>
  <c r="B339" i="7"/>
  <c r="C339" i="7"/>
  <c r="D339" i="7"/>
  <c r="F341" i="7"/>
  <c r="G341" i="7"/>
  <c r="H341" i="7"/>
  <c r="I341" i="7"/>
  <c r="E342" i="7"/>
  <c r="E343" i="7"/>
  <c r="E344" i="7"/>
  <c r="G344" i="7"/>
  <c r="H344" i="7"/>
  <c r="B346" i="7"/>
  <c r="C346" i="7"/>
  <c r="D346" i="7"/>
  <c r="F348" i="7"/>
  <c r="G348" i="7"/>
  <c r="H348" i="7"/>
  <c r="I348" i="7"/>
  <c r="F349" i="7"/>
  <c r="G349" i="7"/>
  <c r="H349" i="7"/>
  <c r="I349" i="7"/>
  <c r="F350" i="7"/>
  <c r="G350" i="7"/>
  <c r="H350" i="7"/>
  <c r="I350" i="7"/>
  <c r="E351" i="7"/>
  <c r="E352" i="7"/>
  <c r="E353" i="7"/>
  <c r="E354" i="7"/>
  <c r="G354" i="7"/>
  <c r="H354" i="7"/>
  <c r="B356" i="7"/>
  <c r="C356" i="7"/>
  <c r="D356" i="7"/>
  <c r="F358" i="7"/>
  <c r="G358" i="7"/>
  <c r="H358" i="7"/>
  <c r="I358" i="7"/>
  <c r="F359" i="7"/>
  <c r="G359" i="7"/>
  <c r="H359" i="7"/>
  <c r="I359" i="7"/>
  <c r="E360" i="7"/>
  <c r="E361" i="7"/>
  <c r="E362" i="7"/>
  <c r="G362" i="7"/>
  <c r="H362" i="7"/>
  <c r="B364" i="7"/>
  <c r="C364" i="7"/>
  <c r="D364" i="7"/>
  <c r="F366" i="7"/>
  <c r="G366" i="7"/>
  <c r="H366" i="7"/>
  <c r="I366" i="7"/>
  <c r="F367" i="7"/>
  <c r="G367" i="7"/>
  <c r="H367" i="7"/>
  <c r="I367" i="7"/>
  <c r="F368" i="7"/>
  <c r="G368" i="7"/>
  <c r="H368" i="7"/>
  <c r="I368" i="7"/>
  <c r="E369" i="7"/>
  <c r="E370" i="7"/>
  <c r="E371" i="7"/>
  <c r="E372" i="7"/>
  <c r="G372" i="7"/>
  <c r="H372" i="7"/>
  <c r="B374" i="7"/>
  <c r="C374" i="7"/>
  <c r="D374" i="7"/>
  <c r="F376" i="7"/>
  <c r="G376" i="7"/>
  <c r="H376" i="7"/>
  <c r="I376" i="7"/>
  <c r="F377" i="7"/>
  <c r="G377" i="7"/>
  <c r="H377" i="7"/>
  <c r="I377" i="7"/>
  <c r="E378" i="7"/>
  <c r="E379" i="7"/>
  <c r="E380" i="7"/>
  <c r="G380" i="7"/>
  <c r="H380" i="7"/>
  <c r="B382" i="7"/>
  <c r="C382" i="7"/>
  <c r="D382" i="7"/>
  <c r="F384" i="7"/>
  <c r="G384" i="7"/>
  <c r="H384" i="7"/>
  <c r="I384" i="7"/>
  <c r="F385" i="7"/>
  <c r="G385" i="7"/>
  <c r="H385" i="7"/>
  <c r="I385" i="7"/>
  <c r="F386" i="7"/>
  <c r="G386" i="7"/>
  <c r="H386" i="7"/>
  <c r="I386" i="7"/>
  <c r="E387" i="7"/>
  <c r="E388" i="7"/>
  <c r="E389" i="7"/>
  <c r="E390" i="7"/>
  <c r="G390" i="7"/>
  <c r="H390" i="7"/>
  <c r="B392" i="7"/>
  <c r="C392" i="7"/>
  <c r="D392" i="7"/>
  <c r="F394" i="7"/>
  <c r="G394" i="7"/>
  <c r="H394" i="7"/>
  <c r="I394" i="7"/>
  <c r="E395" i="7"/>
  <c r="E396" i="7"/>
  <c r="E397" i="7"/>
  <c r="G397" i="7"/>
  <c r="H397" i="7"/>
  <c r="B399" i="7"/>
  <c r="C399" i="7"/>
  <c r="D399" i="7"/>
  <c r="F401" i="7"/>
  <c r="G401" i="7"/>
  <c r="H401" i="7"/>
  <c r="I401" i="7"/>
  <c r="F402" i="7"/>
  <c r="G402" i="7"/>
  <c r="H402" i="7"/>
  <c r="I402" i="7"/>
  <c r="F403" i="7"/>
  <c r="G403" i="7"/>
  <c r="H403" i="7"/>
  <c r="I403" i="7"/>
  <c r="E404" i="7"/>
  <c r="E405" i="7"/>
  <c r="E406" i="7"/>
  <c r="E407" i="7"/>
  <c r="G407" i="7"/>
  <c r="H407" i="7"/>
  <c r="B409" i="7"/>
  <c r="C409" i="7"/>
  <c r="D409" i="7"/>
  <c r="F411" i="7"/>
  <c r="G411" i="7"/>
  <c r="H411" i="7"/>
  <c r="I411" i="7"/>
  <c r="E412" i="7"/>
  <c r="E413" i="7"/>
  <c r="E414" i="7"/>
  <c r="G414" i="7"/>
  <c r="H414" i="7"/>
  <c r="B416" i="7"/>
  <c r="C416" i="7"/>
  <c r="D416" i="7"/>
  <c r="F418" i="7"/>
  <c r="G418" i="7"/>
  <c r="H418" i="7"/>
  <c r="I418" i="7"/>
  <c r="F419" i="7"/>
  <c r="G419" i="7"/>
  <c r="H419" i="7"/>
  <c r="I419" i="7"/>
  <c r="F420" i="7"/>
  <c r="G420" i="7"/>
  <c r="H420" i="7"/>
  <c r="I420" i="7"/>
  <c r="F421" i="7"/>
  <c r="G421" i="7"/>
  <c r="H421" i="7"/>
  <c r="I421" i="7"/>
  <c r="E422" i="7"/>
  <c r="E423" i="7"/>
  <c r="E424" i="7"/>
  <c r="E425" i="7"/>
  <c r="G425" i="7"/>
  <c r="H425" i="7"/>
  <c r="A431" i="7"/>
  <c r="B432" i="7"/>
  <c r="C432" i="7"/>
  <c r="D432" i="7"/>
  <c r="F434" i="7"/>
  <c r="G434" i="7"/>
  <c r="H434" i="7"/>
  <c r="I434" i="7"/>
  <c r="F435" i="7"/>
  <c r="G435" i="7"/>
  <c r="H435" i="7"/>
  <c r="I435" i="7"/>
  <c r="F436" i="7"/>
  <c r="G436" i="7"/>
  <c r="H436" i="7"/>
  <c r="I436" i="7"/>
  <c r="E437" i="7"/>
  <c r="E438" i="7"/>
  <c r="E439" i="7"/>
  <c r="G439" i="7"/>
  <c r="H439" i="7"/>
  <c r="A445" i="7"/>
  <c r="B446" i="7"/>
  <c r="C446" i="7"/>
  <c r="D446" i="7"/>
  <c r="F448" i="7"/>
  <c r="G448" i="7"/>
  <c r="H448" i="7"/>
  <c r="I448" i="7"/>
  <c r="E449" i="7"/>
  <c r="E450" i="7"/>
  <c r="E451" i="7"/>
  <c r="G451" i="7"/>
  <c r="H451" i="7"/>
  <c r="B453" i="7"/>
  <c r="C453" i="7"/>
  <c r="D453" i="7"/>
  <c r="F455" i="7"/>
  <c r="G455" i="7"/>
  <c r="H455" i="7"/>
  <c r="I455" i="7"/>
  <c r="F456" i="7"/>
  <c r="G456" i="7"/>
  <c r="H456" i="7"/>
  <c r="I456" i="7"/>
  <c r="F457" i="7"/>
  <c r="G457" i="7"/>
  <c r="H457" i="7"/>
  <c r="I457" i="7"/>
  <c r="F458" i="7"/>
  <c r="G458" i="7"/>
  <c r="H458" i="7"/>
  <c r="I458" i="7"/>
  <c r="E459" i="7"/>
  <c r="E460" i="7"/>
  <c r="E461" i="7"/>
  <c r="E462" i="7"/>
  <c r="G462" i="7"/>
  <c r="H462" i="7"/>
  <c r="B464" i="7"/>
  <c r="C464" i="7"/>
  <c r="D464" i="7"/>
  <c r="F466" i="7"/>
  <c r="G466" i="7"/>
  <c r="H466" i="7"/>
  <c r="I466" i="7"/>
  <c r="F467" i="7"/>
  <c r="G467" i="7"/>
  <c r="H467" i="7"/>
  <c r="I467" i="7"/>
  <c r="F468" i="7"/>
  <c r="G468" i="7"/>
  <c r="H468" i="7"/>
  <c r="I468" i="7"/>
  <c r="F469" i="7"/>
  <c r="G469" i="7"/>
  <c r="H469" i="7"/>
  <c r="I469" i="7"/>
  <c r="E470" i="7"/>
  <c r="E471" i="7"/>
  <c r="E472" i="7"/>
  <c r="E473" i="7"/>
  <c r="G473" i="7"/>
  <c r="H473" i="7"/>
  <c r="A479" i="7"/>
  <c r="B481" i="7"/>
  <c r="B482" i="7"/>
  <c r="C482" i="7"/>
  <c r="D482" i="7"/>
  <c r="F483" i="7"/>
  <c r="G483" i="7"/>
  <c r="H483" i="7"/>
  <c r="I483" i="7"/>
  <c r="F484" i="7"/>
  <c r="G484" i="7"/>
  <c r="H484" i="7"/>
  <c r="I484" i="7"/>
  <c r="E485" i="7"/>
  <c r="E486" i="7"/>
  <c r="E487" i="7"/>
  <c r="G487" i="7"/>
  <c r="H487" i="7"/>
  <c r="B489" i="7"/>
  <c r="C489" i="7"/>
  <c r="D489" i="7"/>
  <c r="F491" i="7"/>
  <c r="G491" i="7"/>
  <c r="H491" i="7"/>
  <c r="I491" i="7"/>
  <c r="F492" i="7"/>
  <c r="G492" i="7"/>
  <c r="H492" i="7"/>
  <c r="I492" i="7"/>
  <c r="E493" i="7"/>
  <c r="E494" i="7"/>
  <c r="E495" i="7"/>
  <c r="G495" i="7"/>
  <c r="H495" i="7"/>
  <c r="B497" i="7"/>
  <c r="C497" i="7"/>
  <c r="D497" i="7"/>
  <c r="F499" i="7"/>
  <c r="G499" i="7"/>
  <c r="H499" i="7"/>
  <c r="I499" i="7"/>
  <c r="F500" i="7"/>
  <c r="G500" i="7"/>
  <c r="H500" i="7"/>
  <c r="I500" i="7"/>
  <c r="E501" i="7"/>
  <c r="E502" i="7"/>
  <c r="E503" i="7"/>
  <c r="G503" i="7"/>
  <c r="H503" i="7"/>
  <c r="B505" i="7"/>
  <c r="C505" i="7"/>
  <c r="D505" i="7"/>
  <c r="F507" i="7"/>
  <c r="G507" i="7"/>
  <c r="H507" i="7"/>
  <c r="I507" i="7"/>
  <c r="F508" i="7"/>
  <c r="G508" i="7"/>
  <c r="H508" i="7"/>
  <c r="I508" i="7"/>
  <c r="E509" i="7"/>
  <c r="E510" i="7"/>
  <c r="E511" i="7"/>
  <c r="G511" i="7"/>
  <c r="H511" i="7"/>
  <c r="B513" i="7"/>
  <c r="C513" i="7"/>
  <c r="D513" i="7"/>
  <c r="F515" i="7"/>
  <c r="G515" i="7"/>
  <c r="H515" i="7"/>
  <c r="I515" i="7"/>
  <c r="F516" i="7"/>
  <c r="G516" i="7"/>
  <c r="H516" i="7"/>
  <c r="I516" i="7"/>
  <c r="E517" i="7"/>
  <c r="E518" i="7"/>
  <c r="E519" i="7"/>
  <c r="G519" i="7"/>
  <c r="H519" i="7"/>
  <c r="B521" i="7"/>
  <c r="C521" i="7"/>
  <c r="D521" i="7"/>
  <c r="F523" i="7"/>
  <c r="G523" i="7"/>
  <c r="H523" i="7"/>
  <c r="I523" i="7"/>
  <c r="F524" i="7"/>
  <c r="G524" i="7"/>
  <c r="H524" i="7"/>
  <c r="I524" i="7"/>
  <c r="E525" i="7"/>
  <c r="E526" i="7"/>
  <c r="E527" i="7"/>
  <c r="G527" i="7"/>
  <c r="H527" i="7"/>
  <c r="B530" i="7"/>
  <c r="D531" i="7"/>
  <c r="F533" i="7"/>
  <c r="G533" i="7"/>
  <c r="H533" i="7"/>
  <c r="I533" i="7"/>
  <c r="F534" i="7"/>
  <c r="G534" i="7"/>
  <c r="H534" i="7"/>
  <c r="I534" i="7"/>
  <c r="E535" i="7"/>
  <c r="E536" i="7"/>
  <c r="E537" i="7"/>
  <c r="G537" i="7"/>
  <c r="H537" i="7"/>
  <c r="D539" i="7"/>
  <c r="F541" i="7"/>
  <c r="G541" i="7"/>
  <c r="H541" i="7"/>
  <c r="I541" i="7"/>
  <c r="F542" i="7"/>
  <c r="G542" i="7"/>
  <c r="H542" i="7"/>
  <c r="I542" i="7"/>
  <c r="E543" i="7"/>
  <c r="E544" i="7"/>
  <c r="E545" i="7"/>
  <c r="G545" i="7"/>
  <c r="H545" i="7"/>
  <c r="D547" i="7"/>
  <c r="F549" i="7"/>
  <c r="G549" i="7"/>
  <c r="H549" i="7"/>
  <c r="I549" i="7"/>
  <c r="F550" i="7"/>
  <c r="G550" i="7"/>
  <c r="H550" i="7"/>
  <c r="I550" i="7"/>
  <c r="E551" i="7"/>
  <c r="E552" i="7"/>
  <c r="E553" i="7"/>
  <c r="G553" i="7"/>
  <c r="H553" i="7"/>
  <c r="B556" i="7"/>
  <c r="B557" i="7"/>
  <c r="C557" i="7"/>
  <c r="D557" i="7"/>
  <c r="F559" i="7"/>
  <c r="G559" i="7"/>
  <c r="H559" i="7"/>
  <c r="I559" i="7"/>
  <c r="F560" i="7"/>
  <c r="G560" i="7"/>
  <c r="H560" i="7"/>
  <c r="I560" i="7"/>
  <c r="F561" i="7"/>
  <c r="G561" i="7"/>
  <c r="H561" i="7"/>
  <c r="I561" i="7"/>
  <c r="F562" i="7"/>
  <c r="G562" i="7"/>
  <c r="H562" i="7"/>
  <c r="I562" i="7"/>
  <c r="E563" i="7"/>
  <c r="E564" i="7"/>
  <c r="E565" i="7"/>
  <c r="E566" i="7"/>
  <c r="G566" i="7"/>
  <c r="H566" i="7"/>
  <c r="B568" i="7"/>
  <c r="C568" i="7"/>
  <c r="D568" i="7"/>
  <c r="F570" i="7"/>
  <c r="G570" i="7"/>
  <c r="H570" i="7"/>
  <c r="I570" i="7"/>
  <c r="F571" i="7"/>
  <c r="G571" i="7"/>
  <c r="H571" i="7"/>
  <c r="I571" i="7"/>
  <c r="E572" i="7"/>
  <c r="E573" i="7"/>
  <c r="E574" i="7"/>
  <c r="G574" i="7"/>
  <c r="H574" i="7"/>
  <c r="B576" i="7"/>
  <c r="C576" i="7"/>
  <c r="D576" i="7"/>
  <c r="F577" i="7"/>
  <c r="G577" i="7"/>
  <c r="H577" i="7"/>
  <c r="I577" i="7"/>
  <c r="F578" i="7"/>
  <c r="G578" i="7"/>
  <c r="H578" i="7"/>
  <c r="I578" i="7"/>
  <c r="E579" i="7"/>
  <c r="E580" i="7"/>
  <c r="E581" i="7"/>
  <c r="G581" i="7"/>
  <c r="H581" i="7"/>
  <c r="B584" i="7"/>
  <c r="B585" i="7"/>
  <c r="C585" i="7"/>
  <c r="D585" i="7"/>
  <c r="F587" i="7"/>
  <c r="G587" i="7"/>
  <c r="H587" i="7"/>
  <c r="I587" i="7"/>
  <c r="F588" i="7"/>
  <c r="G588" i="7"/>
  <c r="H588" i="7"/>
  <c r="I588" i="7"/>
  <c r="E589" i="7"/>
  <c r="E590" i="7"/>
  <c r="E591" i="7"/>
  <c r="G591" i="7"/>
  <c r="H591" i="7"/>
  <c r="B593" i="7"/>
  <c r="C593" i="7"/>
  <c r="D593" i="7"/>
  <c r="F595" i="7"/>
  <c r="G595" i="7"/>
  <c r="H595" i="7"/>
  <c r="I595" i="7"/>
  <c r="F596" i="7"/>
  <c r="G596" i="7"/>
  <c r="H596" i="7"/>
  <c r="I596" i="7"/>
  <c r="E597" i="7"/>
  <c r="E598" i="7"/>
  <c r="E599" i="7"/>
  <c r="G599" i="7"/>
  <c r="H599" i="7"/>
  <c r="B602" i="7"/>
  <c r="B603" i="7"/>
  <c r="C603" i="7"/>
  <c r="D603" i="7"/>
  <c r="F605" i="7"/>
  <c r="G605" i="7"/>
  <c r="H605" i="7"/>
  <c r="I605" i="7"/>
  <c r="F606" i="7"/>
  <c r="G606" i="7"/>
  <c r="H606" i="7"/>
  <c r="I606" i="7"/>
  <c r="E607" i="7"/>
  <c r="E608" i="7"/>
  <c r="E609" i="7"/>
  <c r="G609" i="7"/>
  <c r="H609" i="7"/>
  <c r="A618" i="7"/>
  <c r="AE618" i="7"/>
  <c r="A620" i="7"/>
  <c r="B621" i="7"/>
  <c r="C621" i="7"/>
  <c r="D621" i="7"/>
  <c r="F623" i="7"/>
  <c r="G623" i="7"/>
  <c r="H623" i="7"/>
  <c r="I623" i="7"/>
  <c r="F624" i="7"/>
  <c r="G624" i="7"/>
  <c r="H624" i="7"/>
  <c r="I624" i="7"/>
  <c r="F625" i="7"/>
  <c r="G625" i="7"/>
  <c r="H625" i="7"/>
  <c r="I625" i="7"/>
  <c r="F626" i="7"/>
  <c r="G626" i="7"/>
  <c r="H626" i="7"/>
  <c r="I626" i="7"/>
  <c r="E627" i="7"/>
  <c r="E628" i="7"/>
  <c r="E629" i="7"/>
  <c r="E630" i="7"/>
  <c r="G630" i="7"/>
  <c r="H630" i="7"/>
  <c r="B632" i="7"/>
  <c r="C632" i="7"/>
  <c r="D632" i="7"/>
  <c r="F634" i="7"/>
  <c r="G634" i="7"/>
  <c r="H634" i="7"/>
  <c r="I634" i="7"/>
  <c r="F635" i="7"/>
  <c r="G635" i="7"/>
  <c r="H635" i="7"/>
  <c r="I635" i="7"/>
  <c r="F636" i="7"/>
  <c r="G636" i="7"/>
  <c r="H636" i="7"/>
  <c r="I636" i="7"/>
  <c r="F637" i="7"/>
  <c r="G637" i="7"/>
  <c r="H637" i="7"/>
  <c r="I637" i="7"/>
  <c r="E638" i="7"/>
  <c r="E639" i="7"/>
  <c r="E640" i="7"/>
  <c r="E641" i="7"/>
  <c r="G641" i="7"/>
  <c r="H641" i="7"/>
  <c r="B643" i="7"/>
  <c r="C643" i="7"/>
  <c r="D643" i="7"/>
  <c r="F645" i="7"/>
  <c r="G645" i="7"/>
  <c r="H645" i="7"/>
  <c r="I645" i="7"/>
  <c r="E646" i="7"/>
  <c r="E647" i="7"/>
  <c r="E648" i="7"/>
  <c r="G648" i="7"/>
  <c r="H648" i="7"/>
  <c r="B650" i="7"/>
  <c r="C650" i="7"/>
  <c r="D650" i="7"/>
  <c r="F652" i="7"/>
  <c r="G652" i="7"/>
  <c r="H652" i="7"/>
  <c r="I652" i="7"/>
  <c r="F653" i="7"/>
  <c r="G653" i="7"/>
  <c r="H653" i="7"/>
  <c r="I653" i="7"/>
  <c r="F654" i="7"/>
  <c r="G654" i="7"/>
  <c r="H654" i="7"/>
  <c r="I654" i="7"/>
  <c r="E655" i="7"/>
  <c r="E656" i="7"/>
  <c r="E657" i="7"/>
  <c r="E658" i="7"/>
  <c r="G658" i="7"/>
  <c r="H658" i="7"/>
  <c r="B660" i="7"/>
  <c r="C660" i="7"/>
  <c r="D660" i="7"/>
  <c r="F662" i="7"/>
  <c r="G662" i="7"/>
  <c r="H662" i="7"/>
  <c r="I662" i="7"/>
  <c r="F663" i="7"/>
  <c r="G663" i="7"/>
  <c r="H663" i="7"/>
  <c r="I663" i="7"/>
  <c r="E664" i="7"/>
  <c r="E665" i="7"/>
  <c r="E666" i="7"/>
  <c r="G666" i="7"/>
  <c r="H666" i="7"/>
  <c r="B668" i="7"/>
  <c r="C668" i="7"/>
  <c r="D668" i="7"/>
  <c r="F670" i="7"/>
  <c r="G670" i="7"/>
  <c r="H670" i="7"/>
  <c r="I670" i="7"/>
  <c r="F671" i="7"/>
  <c r="G671" i="7"/>
  <c r="H671" i="7"/>
  <c r="I671" i="7"/>
  <c r="F672" i="7"/>
  <c r="G672" i="7"/>
  <c r="H672" i="7"/>
  <c r="I672" i="7"/>
  <c r="E673" i="7"/>
  <c r="E674" i="7"/>
  <c r="E675" i="7"/>
  <c r="E676" i="7"/>
  <c r="G676" i="7"/>
  <c r="H676" i="7"/>
  <c r="B678" i="7"/>
  <c r="C678" i="7"/>
  <c r="D678" i="7"/>
  <c r="F680" i="7"/>
  <c r="G680" i="7"/>
  <c r="H680" i="7"/>
  <c r="I680" i="7"/>
  <c r="F681" i="7"/>
  <c r="G681" i="7"/>
  <c r="H681" i="7"/>
  <c r="I681" i="7"/>
  <c r="E682" i="7"/>
  <c r="E683" i="7"/>
  <c r="E684" i="7"/>
  <c r="G684" i="7"/>
  <c r="H684" i="7"/>
  <c r="B686" i="7"/>
  <c r="C686" i="7"/>
  <c r="D686" i="7"/>
  <c r="F688" i="7"/>
  <c r="G688" i="7"/>
  <c r="H688" i="7"/>
  <c r="I688" i="7"/>
  <c r="F689" i="7"/>
  <c r="G689" i="7"/>
  <c r="H689" i="7"/>
  <c r="I689" i="7"/>
  <c r="F690" i="7"/>
  <c r="G690" i="7"/>
  <c r="H690" i="7"/>
  <c r="I690" i="7"/>
  <c r="E691" i="7"/>
  <c r="E692" i="7"/>
  <c r="E693" i="7"/>
  <c r="E694" i="7"/>
  <c r="G694" i="7"/>
  <c r="H694" i="7"/>
  <c r="B696" i="7"/>
  <c r="C696" i="7"/>
  <c r="D696" i="7"/>
  <c r="F698" i="7"/>
  <c r="G698" i="7"/>
  <c r="H698" i="7"/>
  <c r="I698" i="7"/>
  <c r="E699" i="7"/>
  <c r="E700" i="7"/>
  <c r="E701" i="7"/>
  <c r="G701" i="7"/>
  <c r="H701" i="7"/>
  <c r="B703" i="7"/>
  <c r="C703" i="7"/>
  <c r="D703" i="7"/>
  <c r="F705" i="7"/>
  <c r="G705" i="7"/>
  <c r="H705" i="7"/>
  <c r="I705" i="7"/>
  <c r="F706" i="7"/>
  <c r="G706" i="7"/>
  <c r="H706" i="7"/>
  <c r="I706" i="7"/>
  <c r="F707" i="7"/>
  <c r="G707" i="7"/>
  <c r="H707" i="7"/>
  <c r="I707" i="7"/>
  <c r="E708" i="7"/>
  <c r="E709" i="7"/>
  <c r="E710" i="7"/>
  <c r="E711" i="7"/>
  <c r="G711" i="7"/>
  <c r="H711" i="7"/>
  <c r="B713" i="7"/>
  <c r="C713" i="7"/>
  <c r="D713" i="7"/>
  <c r="F715" i="7"/>
  <c r="G715" i="7"/>
  <c r="H715" i="7"/>
  <c r="I715" i="7"/>
  <c r="E716" i="7"/>
  <c r="E717" i="7"/>
  <c r="E718" i="7"/>
  <c r="G718" i="7"/>
  <c r="H718" i="7"/>
  <c r="B720" i="7"/>
  <c r="C720" i="7"/>
  <c r="D720" i="7"/>
  <c r="F722" i="7"/>
  <c r="G722" i="7"/>
  <c r="H722" i="7"/>
  <c r="I722" i="7"/>
  <c r="F723" i="7"/>
  <c r="G723" i="7"/>
  <c r="H723" i="7"/>
  <c r="I723" i="7"/>
  <c r="F724" i="7"/>
  <c r="G724" i="7"/>
  <c r="H724" i="7"/>
  <c r="I724" i="7"/>
  <c r="F725" i="7"/>
  <c r="G725" i="7"/>
  <c r="H725" i="7"/>
  <c r="I725" i="7"/>
  <c r="E726" i="7"/>
  <c r="E727" i="7"/>
  <c r="E728" i="7"/>
  <c r="E729" i="7"/>
  <c r="G729" i="7"/>
  <c r="H729" i="7"/>
  <c r="A735" i="7"/>
  <c r="B736" i="7"/>
  <c r="C736" i="7"/>
  <c r="D736" i="7"/>
  <c r="F738" i="7"/>
  <c r="G738" i="7"/>
  <c r="H738" i="7"/>
  <c r="I738" i="7"/>
  <c r="F739" i="7"/>
  <c r="G739" i="7"/>
  <c r="H739" i="7"/>
  <c r="I739" i="7"/>
  <c r="F740" i="7"/>
  <c r="G740" i="7"/>
  <c r="H740" i="7"/>
  <c r="I740" i="7"/>
  <c r="E741" i="7"/>
  <c r="E742" i="7"/>
  <c r="E743" i="7"/>
  <c r="G743" i="7"/>
  <c r="H743" i="7"/>
  <c r="A749" i="7"/>
  <c r="B750" i="7"/>
  <c r="C750" i="7"/>
  <c r="D750" i="7"/>
  <c r="F752" i="7"/>
  <c r="G752" i="7"/>
  <c r="H752" i="7"/>
  <c r="I752" i="7"/>
  <c r="E753" i="7"/>
  <c r="E754" i="7"/>
  <c r="E755" i="7"/>
  <c r="G755" i="7"/>
  <c r="H755" i="7"/>
  <c r="B757" i="7"/>
  <c r="C757" i="7"/>
  <c r="D757" i="7"/>
  <c r="F759" i="7"/>
  <c r="G759" i="7"/>
  <c r="H759" i="7"/>
  <c r="I759" i="7"/>
  <c r="F760" i="7"/>
  <c r="G760" i="7"/>
  <c r="H760" i="7"/>
  <c r="I760" i="7"/>
  <c r="F761" i="7"/>
  <c r="G761" i="7"/>
  <c r="H761" i="7"/>
  <c r="I761" i="7"/>
  <c r="F762" i="7"/>
  <c r="G762" i="7"/>
  <c r="H762" i="7"/>
  <c r="I762" i="7"/>
  <c r="E763" i="7"/>
  <c r="E764" i="7"/>
  <c r="E765" i="7"/>
  <c r="E766" i="7"/>
  <c r="G766" i="7"/>
  <c r="H766" i="7"/>
  <c r="B768" i="7"/>
  <c r="C768" i="7"/>
  <c r="D768" i="7"/>
  <c r="F770" i="7"/>
  <c r="G770" i="7"/>
  <c r="H770" i="7"/>
  <c r="I770" i="7"/>
  <c r="F771" i="7"/>
  <c r="G771" i="7"/>
  <c r="H771" i="7"/>
  <c r="I771" i="7"/>
  <c r="F772" i="7"/>
  <c r="G772" i="7"/>
  <c r="H772" i="7"/>
  <c r="I772" i="7"/>
  <c r="F773" i="7"/>
  <c r="G773" i="7"/>
  <c r="H773" i="7"/>
  <c r="I773" i="7"/>
  <c r="E774" i="7"/>
  <c r="E775" i="7"/>
  <c r="E776" i="7"/>
  <c r="E777" i="7"/>
  <c r="G777" i="7"/>
  <c r="H777" i="7"/>
  <c r="A783" i="7"/>
  <c r="B785" i="7"/>
  <c r="B786" i="7"/>
  <c r="C786" i="7"/>
  <c r="D786" i="7"/>
  <c r="F788" i="7"/>
  <c r="G788" i="7"/>
  <c r="H788" i="7"/>
  <c r="I788" i="7"/>
  <c r="F789" i="7"/>
  <c r="G789" i="7"/>
  <c r="H789" i="7"/>
  <c r="I789" i="7"/>
  <c r="E790" i="7"/>
  <c r="E791" i="7"/>
  <c r="E792" i="7"/>
  <c r="G792" i="7"/>
  <c r="H792" i="7"/>
  <c r="B794" i="7"/>
  <c r="C794" i="7"/>
  <c r="D794" i="7"/>
  <c r="F796" i="7"/>
  <c r="G796" i="7"/>
  <c r="H796" i="7"/>
  <c r="I796" i="7"/>
  <c r="F797" i="7"/>
  <c r="G797" i="7"/>
  <c r="H797" i="7"/>
  <c r="I797" i="7"/>
  <c r="E798" i="7"/>
  <c r="E799" i="7"/>
  <c r="E800" i="7"/>
  <c r="G800" i="7"/>
  <c r="H800" i="7"/>
  <c r="B802" i="7"/>
  <c r="C802" i="7"/>
  <c r="D802" i="7"/>
  <c r="F804" i="7"/>
  <c r="G804" i="7"/>
  <c r="H804" i="7"/>
  <c r="I804" i="7"/>
  <c r="F805" i="7"/>
  <c r="G805" i="7"/>
  <c r="H805" i="7"/>
  <c r="I805" i="7"/>
  <c r="E806" i="7"/>
  <c r="E807" i="7"/>
  <c r="E808" i="7"/>
  <c r="G808" i="7"/>
  <c r="H808" i="7"/>
  <c r="B810" i="7"/>
  <c r="C810" i="7"/>
  <c r="D810" i="7"/>
  <c r="F812" i="7"/>
  <c r="G812" i="7"/>
  <c r="H812" i="7"/>
  <c r="I812" i="7"/>
  <c r="F813" i="7"/>
  <c r="G813" i="7"/>
  <c r="H813" i="7"/>
  <c r="I813" i="7"/>
  <c r="E814" i="7"/>
  <c r="E815" i="7"/>
  <c r="E816" i="7"/>
  <c r="G816" i="7"/>
  <c r="H816" i="7"/>
  <c r="B818" i="7"/>
  <c r="C818" i="7"/>
  <c r="D818" i="7"/>
  <c r="F820" i="7"/>
  <c r="G820" i="7"/>
  <c r="H820" i="7"/>
  <c r="I820" i="7"/>
  <c r="F821" i="7"/>
  <c r="G821" i="7"/>
  <c r="H821" i="7"/>
  <c r="I821" i="7"/>
  <c r="E822" i="7"/>
  <c r="E823" i="7"/>
  <c r="E824" i="7"/>
  <c r="G824" i="7"/>
  <c r="H824" i="7"/>
  <c r="B826" i="7"/>
  <c r="C826" i="7"/>
  <c r="D826" i="7"/>
  <c r="F828" i="7"/>
  <c r="G828" i="7"/>
  <c r="H828" i="7"/>
  <c r="I828" i="7"/>
  <c r="F829" i="7"/>
  <c r="G829" i="7"/>
  <c r="H829" i="7"/>
  <c r="I829" i="7"/>
  <c r="E830" i="7"/>
  <c r="E831" i="7"/>
  <c r="E832" i="7"/>
  <c r="G832" i="7"/>
  <c r="H832" i="7"/>
  <c r="B835" i="7"/>
  <c r="D836" i="7"/>
  <c r="F838" i="7"/>
  <c r="G838" i="7"/>
  <c r="H838" i="7"/>
  <c r="I838" i="7"/>
  <c r="F839" i="7"/>
  <c r="G839" i="7"/>
  <c r="H839" i="7"/>
  <c r="I839" i="7"/>
  <c r="E840" i="7"/>
  <c r="E841" i="7"/>
  <c r="E842" i="7"/>
  <c r="G842" i="7"/>
  <c r="H842" i="7"/>
  <c r="D844" i="7"/>
  <c r="F846" i="7"/>
  <c r="G846" i="7"/>
  <c r="H846" i="7"/>
  <c r="I846" i="7"/>
  <c r="F847" i="7"/>
  <c r="G847" i="7"/>
  <c r="H847" i="7"/>
  <c r="I847" i="7"/>
  <c r="E848" i="7"/>
  <c r="E849" i="7"/>
  <c r="E850" i="7"/>
  <c r="G850" i="7"/>
  <c r="H850" i="7"/>
  <c r="D852" i="7"/>
  <c r="F854" i="7"/>
  <c r="G854" i="7"/>
  <c r="H854" i="7"/>
  <c r="I854" i="7"/>
  <c r="F855" i="7"/>
  <c r="G855" i="7"/>
  <c r="H855" i="7"/>
  <c r="I855" i="7"/>
  <c r="E856" i="7"/>
  <c r="E857" i="7"/>
  <c r="E858" i="7"/>
  <c r="G858" i="7"/>
  <c r="H858" i="7"/>
  <c r="B861" i="7"/>
  <c r="B862" i="7"/>
  <c r="C862" i="7"/>
  <c r="D862" i="7"/>
  <c r="F864" i="7"/>
  <c r="G864" i="7"/>
  <c r="H864" i="7"/>
  <c r="I864" i="7"/>
  <c r="F865" i="7"/>
  <c r="G865" i="7"/>
  <c r="H865" i="7"/>
  <c r="I865" i="7"/>
  <c r="F866" i="7"/>
  <c r="G866" i="7"/>
  <c r="H866" i="7"/>
  <c r="I866" i="7"/>
  <c r="F867" i="7"/>
  <c r="G867" i="7"/>
  <c r="H867" i="7"/>
  <c r="I867" i="7"/>
  <c r="E868" i="7"/>
  <c r="E869" i="7"/>
  <c r="E870" i="7"/>
  <c r="E871" i="7"/>
  <c r="G871" i="7"/>
  <c r="H871" i="7"/>
  <c r="B873" i="7"/>
  <c r="C873" i="7"/>
  <c r="D873" i="7"/>
  <c r="F875" i="7"/>
  <c r="G875" i="7"/>
  <c r="H875" i="7"/>
  <c r="I875" i="7"/>
  <c r="F876" i="7"/>
  <c r="G876" i="7"/>
  <c r="H876" i="7"/>
  <c r="I876" i="7"/>
  <c r="E877" i="7"/>
  <c r="E878" i="7"/>
  <c r="E879" i="7"/>
  <c r="G879" i="7"/>
  <c r="H879" i="7"/>
  <c r="B881" i="7"/>
  <c r="C881" i="7"/>
  <c r="D881" i="7"/>
  <c r="F883" i="7"/>
  <c r="G883" i="7"/>
  <c r="H883" i="7"/>
  <c r="I883" i="7"/>
  <c r="F884" i="7"/>
  <c r="G884" i="7"/>
  <c r="H884" i="7"/>
  <c r="I884" i="7"/>
  <c r="E885" i="7"/>
  <c r="E886" i="7"/>
  <c r="E887" i="7"/>
  <c r="G887" i="7"/>
  <c r="H887" i="7"/>
  <c r="B890" i="7"/>
  <c r="B891" i="7"/>
  <c r="C891" i="7"/>
  <c r="D891" i="7"/>
  <c r="F893" i="7"/>
  <c r="G893" i="7"/>
  <c r="H893" i="7"/>
  <c r="I893" i="7"/>
  <c r="F894" i="7"/>
  <c r="G894" i="7"/>
  <c r="H894" i="7"/>
  <c r="I894" i="7"/>
  <c r="E895" i="7"/>
  <c r="E896" i="7"/>
  <c r="E897" i="7"/>
  <c r="G897" i="7"/>
  <c r="H897" i="7"/>
  <c r="B899" i="7"/>
  <c r="C899" i="7"/>
  <c r="D899" i="7"/>
  <c r="F901" i="7"/>
  <c r="G901" i="7"/>
  <c r="H901" i="7"/>
  <c r="I901" i="7"/>
  <c r="F902" i="7"/>
  <c r="G902" i="7"/>
  <c r="H902" i="7"/>
  <c r="I902" i="7"/>
  <c r="E903" i="7"/>
  <c r="E904" i="7"/>
  <c r="E905" i="7"/>
  <c r="G905" i="7"/>
  <c r="H905" i="7"/>
  <c r="B908" i="7"/>
  <c r="B909" i="7"/>
  <c r="C909" i="7"/>
  <c r="D909" i="7"/>
  <c r="F911" i="7"/>
  <c r="G911" i="7"/>
  <c r="H911" i="7"/>
  <c r="I911" i="7"/>
  <c r="F912" i="7"/>
  <c r="G912" i="7"/>
  <c r="H912" i="7"/>
  <c r="I912" i="7"/>
  <c r="E913" i="7"/>
  <c r="E914" i="7"/>
  <c r="E915" i="7"/>
  <c r="G915" i="7"/>
  <c r="H915" i="7"/>
  <c r="C928" i="7"/>
  <c r="C929" i="7"/>
  <c r="C930" i="7"/>
  <c r="C933" i="7"/>
  <c r="H933" i="7"/>
  <c r="C936" i="7"/>
  <c r="H936" i="7"/>
  <c r="I942" i="8"/>
  <c r="I939" i="8"/>
  <c r="D942" i="8"/>
  <c r="D939" i="8"/>
  <c r="D936" i="8"/>
  <c r="D935" i="8"/>
  <c r="D934" i="8"/>
  <c r="I921" i="8"/>
  <c r="H921" i="8"/>
  <c r="F921" i="8"/>
  <c r="F920" i="8"/>
  <c r="F919" i="8"/>
  <c r="J918" i="8"/>
  <c r="I918" i="8"/>
  <c r="H918" i="8"/>
  <c r="G918" i="8"/>
  <c r="J917" i="8"/>
  <c r="I917" i="8"/>
  <c r="H917" i="8"/>
  <c r="G917" i="8"/>
  <c r="E915" i="8"/>
  <c r="D915" i="8"/>
  <c r="C915" i="8"/>
  <c r="C914" i="8"/>
  <c r="I911" i="8"/>
  <c r="H911" i="8"/>
  <c r="F911" i="8"/>
  <c r="F910" i="8"/>
  <c r="F909" i="8"/>
  <c r="J908" i="8"/>
  <c r="I908" i="8"/>
  <c r="H908" i="8"/>
  <c r="G908" i="8"/>
  <c r="J907" i="8"/>
  <c r="I907" i="8"/>
  <c r="H907" i="8"/>
  <c r="G907" i="8"/>
  <c r="E905" i="8"/>
  <c r="D905" i="8"/>
  <c r="C905" i="8"/>
  <c r="I903" i="8"/>
  <c r="H903" i="8"/>
  <c r="F903" i="8"/>
  <c r="F902" i="8"/>
  <c r="F901" i="8"/>
  <c r="J900" i="8"/>
  <c r="I900" i="8"/>
  <c r="H900" i="8"/>
  <c r="G900" i="8"/>
  <c r="J899" i="8"/>
  <c r="I899" i="8"/>
  <c r="H899" i="8"/>
  <c r="G899" i="8"/>
  <c r="E897" i="8"/>
  <c r="D897" i="8"/>
  <c r="C897" i="8"/>
  <c r="C896" i="8"/>
  <c r="I893" i="8"/>
  <c r="H893" i="8"/>
  <c r="F893" i="8"/>
  <c r="F892" i="8"/>
  <c r="F891" i="8"/>
  <c r="J890" i="8"/>
  <c r="I890" i="8"/>
  <c r="H890" i="8"/>
  <c r="G890" i="8"/>
  <c r="J889" i="8"/>
  <c r="I889" i="8"/>
  <c r="H889" i="8"/>
  <c r="G889" i="8"/>
  <c r="E887" i="8"/>
  <c r="D887" i="8"/>
  <c r="C887" i="8"/>
  <c r="I885" i="8"/>
  <c r="H885" i="8"/>
  <c r="F885" i="8"/>
  <c r="F884" i="8"/>
  <c r="F883" i="8"/>
  <c r="J882" i="8"/>
  <c r="I882" i="8"/>
  <c r="H882" i="8"/>
  <c r="G882" i="8"/>
  <c r="J881" i="8"/>
  <c r="I881" i="8"/>
  <c r="H881" i="8"/>
  <c r="G881" i="8"/>
  <c r="E879" i="8"/>
  <c r="D879" i="8"/>
  <c r="C879" i="8"/>
  <c r="I877" i="8"/>
  <c r="H877" i="8"/>
  <c r="F877" i="8"/>
  <c r="F876" i="8"/>
  <c r="F875" i="8"/>
  <c r="F874" i="8"/>
  <c r="J873" i="8"/>
  <c r="I873" i="8"/>
  <c r="H873" i="8"/>
  <c r="G873" i="8"/>
  <c r="J872" i="8"/>
  <c r="I872" i="8"/>
  <c r="H872" i="8"/>
  <c r="G872" i="8"/>
  <c r="J871" i="8"/>
  <c r="I871" i="8"/>
  <c r="H871" i="8"/>
  <c r="G871" i="8"/>
  <c r="J870" i="8"/>
  <c r="I870" i="8"/>
  <c r="H870" i="8"/>
  <c r="G870" i="8"/>
  <c r="E868" i="8"/>
  <c r="D868" i="8"/>
  <c r="C868" i="8"/>
  <c r="C867" i="8"/>
  <c r="I864" i="8"/>
  <c r="H864" i="8"/>
  <c r="F864" i="8"/>
  <c r="F863" i="8"/>
  <c r="F862" i="8"/>
  <c r="J861" i="8"/>
  <c r="I861" i="8"/>
  <c r="H861" i="8"/>
  <c r="G861" i="8"/>
  <c r="J860" i="8"/>
  <c r="I860" i="8"/>
  <c r="H860" i="8"/>
  <c r="G860" i="8"/>
  <c r="E858" i="8"/>
  <c r="I856" i="8"/>
  <c r="H856" i="8"/>
  <c r="F856" i="8"/>
  <c r="F855" i="8"/>
  <c r="F854" i="8"/>
  <c r="J853" i="8"/>
  <c r="I853" i="8"/>
  <c r="H853" i="8"/>
  <c r="G853" i="8"/>
  <c r="J852" i="8"/>
  <c r="I852" i="8"/>
  <c r="H852" i="8"/>
  <c r="G852" i="8"/>
  <c r="E850" i="8"/>
  <c r="I848" i="8"/>
  <c r="H848" i="8"/>
  <c r="F848" i="8"/>
  <c r="F847" i="8"/>
  <c r="F846" i="8"/>
  <c r="J845" i="8"/>
  <c r="I845" i="8"/>
  <c r="H845" i="8"/>
  <c r="G845" i="8"/>
  <c r="J844" i="8"/>
  <c r="I844" i="8"/>
  <c r="H844" i="8"/>
  <c r="G844" i="8"/>
  <c r="E842" i="8"/>
  <c r="C841" i="8"/>
  <c r="I838" i="8"/>
  <c r="H838" i="8"/>
  <c r="F838" i="8"/>
  <c r="F837" i="8"/>
  <c r="F836" i="8"/>
  <c r="J835" i="8"/>
  <c r="I835" i="8"/>
  <c r="H835" i="8"/>
  <c r="G835" i="8"/>
  <c r="J834" i="8"/>
  <c r="I834" i="8"/>
  <c r="H834" i="8"/>
  <c r="G834" i="8"/>
  <c r="E832" i="8"/>
  <c r="D832" i="8"/>
  <c r="C832" i="8"/>
  <c r="I830" i="8"/>
  <c r="H830" i="8"/>
  <c r="F830" i="8"/>
  <c r="F829" i="8"/>
  <c r="F828" i="8"/>
  <c r="J827" i="8"/>
  <c r="I827" i="8"/>
  <c r="H827" i="8"/>
  <c r="G827" i="8"/>
  <c r="J826" i="8"/>
  <c r="I826" i="8"/>
  <c r="H826" i="8"/>
  <c r="G826" i="8"/>
  <c r="E824" i="8"/>
  <c r="D824" i="8"/>
  <c r="C824" i="8"/>
  <c r="I822" i="8"/>
  <c r="H822" i="8"/>
  <c r="F822" i="8"/>
  <c r="F821" i="8"/>
  <c r="F820" i="8"/>
  <c r="J819" i="8"/>
  <c r="I819" i="8"/>
  <c r="H819" i="8"/>
  <c r="G819" i="8"/>
  <c r="J818" i="8"/>
  <c r="I818" i="8"/>
  <c r="H818" i="8"/>
  <c r="G818" i="8"/>
  <c r="E816" i="8"/>
  <c r="D816" i="8"/>
  <c r="C816" i="8"/>
  <c r="I814" i="8"/>
  <c r="H814" i="8"/>
  <c r="F814" i="8"/>
  <c r="F813" i="8"/>
  <c r="F812" i="8"/>
  <c r="J811" i="8"/>
  <c r="I811" i="8"/>
  <c r="H811" i="8"/>
  <c r="G811" i="8"/>
  <c r="J810" i="8"/>
  <c r="I810" i="8"/>
  <c r="H810" i="8"/>
  <c r="G810" i="8"/>
  <c r="E808" i="8"/>
  <c r="D808" i="8"/>
  <c r="C808" i="8"/>
  <c r="I806" i="8"/>
  <c r="H806" i="8"/>
  <c r="F806" i="8"/>
  <c r="F805" i="8"/>
  <c r="F804" i="8"/>
  <c r="J803" i="8"/>
  <c r="I803" i="8"/>
  <c r="H803" i="8"/>
  <c r="G803" i="8"/>
  <c r="J802" i="8"/>
  <c r="I802" i="8"/>
  <c r="H802" i="8"/>
  <c r="G802" i="8"/>
  <c r="E800" i="8"/>
  <c r="D800" i="8"/>
  <c r="C800" i="8"/>
  <c r="I798" i="8"/>
  <c r="H798" i="8"/>
  <c r="F798" i="8"/>
  <c r="F797" i="8"/>
  <c r="F796" i="8"/>
  <c r="J795" i="8"/>
  <c r="I795" i="8"/>
  <c r="H795" i="8"/>
  <c r="G795" i="8"/>
  <c r="J794" i="8"/>
  <c r="I794" i="8"/>
  <c r="H794" i="8"/>
  <c r="G794" i="8"/>
  <c r="E792" i="8"/>
  <c r="D792" i="8"/>
  <c r="C792" i="8"/>
  <c r="C791" i="8"/>
  <c r="A789" i="8"/>
  <c r="I783" i="8"/>
  <c r="H783" i="8"/>
  <c r="F783" i="8"/>
  <c r="F782" i="8"/>
  <c r="F781" i="8"/>
  <c r="F780" i="8"/>
  <c r="J779" i="8"/>
  <c r="I779" i="8"/>
  <c r="H779" i="8"/>
  <c r="G779" i="8"/>
  <c r="J778" i="8"/>
  <c r="I778" i="8"/>
  <c r="H778" i="8"/>
  <c r="G778" i="8"/>
  <c r="J777" i="8"/>
  <c r="I777" i="8"/>
  <c r="H777" i="8"/>
  <c r="G777" i="8"/>
  <c r="J776" i="8"/>
  <c r="I776" i="8"/>
  <c r="H776" i="8"/>
  <c r="G776" i="8"/>
  <c r="E774" i="8"/>
  <c r="D774" i="8"/>
  <c r="C774" i="8"/>
  <c r="I772" i="8"/>
  <c r="H772" i="8"/>
  <c r="F772" i="8"/>
  <c r="F771" i="8"/>
  <c r="F770" i="8"/>
  <c r="F769" i="8"/>
  <c r="J768" i="8"/>
  <c r="I768" i="8"/>
  <c r="H768" i="8"/>
  <c r="G768" i="8"/>
  <c r="J767" i="8"/>
  <c r="I767" i="8"/>
  <c r="H767" i="8"/>
  <c r="G767" i="8"/>
  <c r="J766" i="8"/>
  <c r="I766" i="8"/>
  <c r="H766" i="8"/>
  <c r="G766" i="8"/>
  <c r="J765" i="8"/>
  <c r="I765" i="8"/>
  <c r="H765" i="8"/>
  <c r="G765" i="8"/>
  <c r="E763" i="8"/>
  <c r="D763" i="8"/>
  <c r="C763" i="8"/>
  <c r="I761" i="8"/>
  <c r="H761" i="8"/>
  <c r="F761" i="8"/>
  <c r="F760" i="8"/>
  <c r="F759" i="8"/>
  <c r="J758" i="8"/>
  <c r="I758" i="8"/>
  <c r="H758" i="8"/>
  <c r="G758" i="8"/>
  <c r="E756" i="8"/>
  <c r="D756" i="8"/>
  <c r="C756" i="8"/>
  <c r="A755" i="8"/>
  <c r="I749" i="8"/>
  <c r="H749" i="8"/>
  <c r="F749" i="8"/>
  <c r="F748" i="8"/>
  <c r="F747" i="8"/>
  <c r="J746" i="8"/>
  <c r="I746" i="8"/>
  <c r="H746" i="8"/>
  <c r="G746" i="8"/>
  <c r="J745" i="8"/>
  <c r="I745" i="8"/>
  <c r="H745" i="8"/>
  <c r="G745" i="8"/>
  <c r="J744" i="8"/>
  <c r="I744" i="8"/>
  <c r="H744" i="8"/>
  <c r="G744" i="8"/>
  <c r="E742" i="8"/>
  <c r="D742" i="8"/>
  <c r="C742" i="8"/>
  <c r="A741" i="8"/>
  <c r="I735" i="8"/>
  <c r="H735" i="8"/>
  <c r="F735" i="8"/>
  <c r="F734" i="8"/>
  <c r="F733" i="8"/>
  <c r="F732" i="8"/>
  <c r="J731" i="8"/>
  <c r="I731" i="8"/>
  <c r="H731" i="8"/>
  <c r="G731" i="8"/>
  <c r="J730" i="8"/>
  <c r="I730" i="8"/>
  <c r="H730" i="8"/>
  <c r="G730" i="8"/>
  <c r="J729" i="8"/>
  <c r="I729" i="8"/>
  <c r="H729" i="8"/>
  <c r="G729" i="8"/>
  <c r="J728" i="8"/>
  <c r="I728" i="8"/>
  <c r="H728" i="8"/>
  <c r="G728" i="8"/>
  <c r="E726" i="8"/>
  <c r="D726" i="8"/>
  <c r="C726" i="8"/>
  <c r="I724" i="8"/>
  <c r="H724" i="8"/>
  <c r="F724" i="8"/>
  <c r="F723" i="8"/>
  <c r="F722" i="8"/>
  <c r="J721" i="8"/>
  <c r="I721" i="8"/>
  <c r="H721" i="8"/>
  <c r="G721" i="8"/>
  <c r="E719" i="8"/>
  <c r="D719" i="8"/>
  <c r="C719" i="8"/>
  <c r="I717" i="8"/>
  <c r="H717" i="8"/>
  <c r="F717" i="8"/>
  <c r="F716" i="8"/>
  <c r="F715" i="8"/>
  <c r="F714" i="8"/>
  <c r="J713" i="8"/>
  <c r="I713" i="8"/>
  <c r="H713" i="8"/>
  <c r="G713" i="8"/>
  <c r="J712" i="8"/>
  <c r="I712" i="8"/>
  <c r="H712" i="8"/>
  <c r="G712" i="8"/>
  <c r="J711" i="8"/>
  <c r="I711" i="8"/>
  <c r="H711" i="8"/>
  <c r="G711" i="8"/>
  <c r="E709" i="8"/>
  <c r="D709" i="8"/>
  <c r="C709" i="8"/>
  <c r="I707" i="8"/>
  <c r="H707" i="8"/>
  <c r="F707" i="8"/>
  <c r="F706" i="8"/>
  <c r="F705" i="8"/>
  <c r="J704" i="8"/>
  <c r="I704" i="8"/>
  <c r="H704" i="8"/>
  <c r="G704" i="8"/>
  <c r="E702" i="8"/>
  <c r="D702" i="8"/>
  <c r="C702" i="8"/>
  <c r="I700" i="8"/>
  <c r="H700" i="8"/>
  <c r="F700" i="8"/>
  <c r="F699" i="8"/>
  <c r="F698" i="8"/>
  <c r="F697" i="8"/>
  <c r="J696" i="8"/>
  <c r="I696" i="8"/>
  <c r="H696" i="8"/>
  <c r="G696" i="8"/>
  <c r="J695" i="8"/>
  <c r="I695" i="8"/>
  <c r="H695" i="8"/>
  <c r="G695" i="8"/>
  <c r="J694" i="8"/>
  <c r="I694" i="8"/>
  <c r="H694" i="8"/>
  <c r="G694" i="8"/>
  <c r="E692" i="8"/>
  <c r="D692" i="8"/>
  <c r="C692" i="8"/>
  <c r="I690" i="8"/>
  <c r="H690" i="8"/>
  <c r="F690" i="8"/>
  <c r="F689" i="8"/>
  <c r="F688" i="8"/>
  <c r="J687" i="8"/>
  <c r="I687" i="8"/>
  <c r="H687" i="8"/>
  <c r="G687" i="8"/>
  <c r="J686" i="8"/>
  <c r="I686" i="8"/>
  <c r="H686" i="8"/>
  <c r="G686" i="8"/>
  <c r="E684" i="8"/>
  <c r="D684" i="8"/>
  <c r="C684" i="8"/>
  <c r="I682" i="8"/>
  <c r="H682" i="8"/>
  <c r="F682" i="8"/>
  <c r="F681" i="8"/>
  <c r="F680" i="8"/>
  <c r="F679" i="8"/>
  <c r="J678" i="8"/>
  <c r="I678" i="8"/>
  <c r="H678" i="8"/>
  <c r="G678" i="8"/>
  <c r="J677" i="8"/>
  <c r="I677" i="8"/>
  <c r="H677" i="8"/>
  <c r="G677" i="8"/>
  <c r="J676" i="8"/>
  <c r="I676" i="8"/>
  <c r="H676" i="8"/>
  <c r="G676" i="8"/>
  <c r="E674" i="8"/>
  <c r="D674" i="8"/>
  <c r="C674" i="8"/>
  <c r="I672" i="8"/>
  <c r="H672" i="8"/>
  <c r="F672" i="8"/>
  <c r="F671" i="8"/>
  <c r="F670" i="8"/>
  <c r="J669" i="8"/>
  <c r="I669" i="8"/>
  <c r="H669" i="8"/>
  <c r="G669" i="8"/>
  <c r="J668" i="8"/>
  <c r="I668" i="8"/>
  <c r="H668" i="8"/>
  <c r="G668" i="8"/>
  <c r="E666" i="8"/>
  <c r="D666" i="8"/>
  <c r="C666" i="8"/>
  <c r="I664" i="8"/>
  <c r="H664" i="8"/>
  <c r="F664" i="8"/>
  <c r="F663" i="8"/>
  <c r="F662" i="8"/>
  <c r="F661" i="8"/>
  <c r="J660" i="8"/>
  <c r="I660" i="8"/>
  <c r="H660" i="8"/>
  <c r="G660" i="8"/>
  <c r="J659" i="8"/>
  <c r="I659" i="8"/>
  <c r="H659" i="8"/>
  <c r="G659" i="8"/>
  <c r="J658" i="8"/>
  <c r="I658" i="8"/>
  <c r="H658" i="8"/>
  <c r="G658" i="8"/>
  <c r="E656" i="8"/>
  <c r="D656" i="8"/>
  <c r="C656" i="8"/>
  <c r="I654" i="8"/>
  <c r="H654" i="8"/>
  <c r="F654" i="8"/>
  <c r="F653" i="8"/>
  <c r="F652" i="8"/>
  <c r="J651" i="8"/>
  <c r="I651" i="8"/>
  <c r="H651" i="8"/>
  <c r="G651" i="8"/>
  <c r="E649" i="8"/>
  <c r="D649" i="8"/>
  <c r="C649" i="8"/>
  <c r="I647" i="8"/>
  <c r="H647" i="8"/>
  <c r="F647" i="8"/>
  <c r="F646" i="8"/>
  <c r="F645" i="8"/>
  <c r="F644" i="8"/>
  <c r="J643" i="8"/>
  <c r="I643" i="8"/>
  <c r="H643" i="8"/>
  <c r="G643" i="8"/>
  <c r="J642" i="8"/>
  <c r="I642" i="8"/>
  <c r="H642" i="8"/>
  <c r="G642" i="8"/>
  <c r="J641" i="8"/>
  <c r="I641" i="8"/>
  <c r="H641" i="8"/>
  <c r="G641" i="8"/>
  <c r="J640" i="8"/>
  <c r="I640" i="8"/>
  <c r="H640" i="8"/>
  <c r="G640" i="8"/>
  <c r="E638" i="8"/>
  <c r="D638" i="8"/>
  <c r="C638" i="8"/>
  <c r="I636" i="8"/>
  <c r="H636" i="8"/>
  <c r="F636" i="8"/>
  <c r="F635" i="8"/>
  <c r="F634" i="8"/>
  <c r="F633" i="8"/>
  <c r="J632" i="8"/>
  <c r="I632" i="8"/>
  <c r="H632" i="8"/>
  <c r="G632" i="8"/>
  <c r="J631" i="8"/>
  <c r="I631" i="8"/>
  <c r="H631" i="8"/>
  <c r="G631" i="8"/>
  <c r="J630" i="8"/>
  <c r="I630" i="8"/>
  <c r="H630" i="8"/>
  <c r="G630" i="8"/>
  <c r="J629" i="8"/>
  <c r="I629" i="8"/>
  <c r="H629" i="8"/>
  <c r="G629" i="8"/>
  <c r="E627" i="8"/>
  <c r="D627" i="8"/>
  <c r="C627" i="8"/>
  <c r="A626" i="8"/>
  <c r="AE624" i="8"/>
  <c r="A624" i="8"/>
  <c r="I615" i="8"/>
  <c r="H615" i="8"/>
  <c r="F615" i="8"/>
  <c r="F614" i="8"/>
  <c r="F613" i="8"/>
  <c r="J612" i="8"/>
  <c r="I612" i="8"/>
  <c r="H612" i="8"/>
  <c r="G612" i="8"/>
  <c r="J611" i="8"/>
  <c r="I611" i="8"/>
  <c r="H611" i="8"/>
  <c r="G611" i="8"/>
  <c r="E609" i="8"/>
  <c r="D609" i="8"/>
  <c r="C609" i="8"/>
  <c r="C608" i="8"/>
  <c r="I605" i="8"/>
  <c r="H605" i="8"/>
  <c r="F605" i="8"/>
  <c r="F604" i="8"/>
  <c r="F603" i="8"/>
  <c r="J602" i="8"/>
  <c r="I602" i="8"/>
  <c r="H602" i="8"/>
  <c r="G602" i="8"/>
  <c r="J601" i="8"/>
  <c r="I601" i="8"/>
  <c r="H601" i="8"/>
  <c r="G601" i="8"/>
  <c r="E599" i="8"/>
  <c r="D599" i="8"/>
  <c r="C599" i="8"/>
  <c r="I597" i="8"/>
  <c r="H597" i="8"/>
  <c r="F597" i="8"/>
  <c r="F596" i="8"/>
  <c r="F595" i="8"/>
  <c r="J594" i="8"/>
  <c r="I594" i="8"/>
  <c r="H594" i="8"/>
  <c r="G594" i="8"/>
  <c r="J593" i="8"/>
  <c r="I593" i="8"/>
  <c r="H593" i="8"/>
  <c r="G593" i="8"/>
  <c r="E591" i="8"/>
  <c r="D591" i="8"/>
  <c r="C591" i="8"/>
  <c r="C590" i="8"/>
  <c r="I587" i="8"/>
  <c r="H587" i="8"/>
  <c r="F587" i="8"/>
  <c r="F586" i="8"/>
  <c r="F585" i="8"/>
  <c r="J584" i="8"/>
  <c r="I584" i="8"/>
  <c r="H584" i="8"/>
  <c r="G584" i="8"/>
  <c r="J583" i="8"/>
  <c r="I583" i="8"/>
  <c r="H583" i="8"/>
  <c r="G583" i="8"/>
  <c r="E582" i="8"/>
  <c r="D582" i="8"/>
  <c r="C582" i="8"/>
  <c r="I580" i="8"/>
  <c r="H580" i="8"/>
  <c r="F580" i="8"/>
  <c r="F579" i="8"/>
  <c r="F578" i="8"/>
  <c r="J577" i="8"/>
  <c r="I577" i="8"/>
  <c r="H577" i="8"/>
  <c r="G577" i="8"/>
  <c r="J576" i="8"/>
  <c r="I576" i="8"/>
  <c r="H576" i="8"/>
  <c r="G576" i="8"/>
  <c r="E574" i="8"/>
  <c r="D574" i="8"/>
  <c r="C574" i="8"/>
  <c r="I572" i="8"/>
  <c r="H572" i="8"/>
  <c r="F572" i="8"/>
  <c r="F571" i="8"/>
  <c r="F570" i="8"/>
  <c r="F569" i="8"/>
  <c r="J568" i="8"/>
  <c r="I568" i="8"/>
  <c r="H568" i="8"/>
  <c r="G568" i="8"/>
  <c r="J567" i="8"/>
  <c r="I567" i="8"/>
  <c r="H567" i="8"/>
  <c r="G567" i="8"/>
  <c r="J566" i="8"/>
  <c r="I566" i="8"/>
  <c r="H566" i="8"/>
  <c r="G566" i="8"/>
  <c r="J565" i="8"/>
  <c r="I565" i="8"/>
  <c r="H565" i="8"/>
  <c r="G565" i="8"/>
  <c r="E563" i="8"/>
  <c r="D563" i="8"/>
  <c r="C563" i="8"/>
  <c r="C562" i="8"/>
  <c r="I559" i="8"/>
  <c r="H559" i="8"/>
  <c r="F559" i="8"/>
  <c r="F558" i="8"/>
  <c r="F557" i="8"/>
  <c r="J556" i="8"/>
  <c r="I556" i="8"/>
  <c r="H556" i="8"/>
  <c r="G556" i="8"/>
  <c r="J555" i="8"/>
  <c r="I555" i="8"/>
  <c r="H555" i="8"/>
  <c r="G555" i="8"/>
  <c r="E553" i="8"/>
  <c r="I551" i="8"/>
  <c r="H551" i="8"/>
  <c r="F551" i="8"/>
  <c r="F550" i="8"/>
  <c r="F549" i="8"/>
  <c r="J548" i="8"/>
  <c r="I548" i="8"/>
  <c r="H548" i="8"/>
  <c r="G548" i="8"/>
  <c r="J547" i="8"/>
  <c r="I547" i="8"/>
  <c r="H547" i="8"/>
  <c r="G547" i="8"/>
  <c r="E545" i="8"/>
  <c r="I543" i="8"/>
  <c r="H543" i="8"/>
  <c r="F543" i="8"/>
  <c r="F542" i="8"/>
  <c r="F541" i="8"/>
  <c r="J540" i="8"/>
  <c r="I540" i="8"/>
  <c r="H540" i="8"/>
  <c r="G540" i="8"/>
  <c r="J539" i="8"/>
  <c r="I539" i="8"/>
  <c r="H539" i="8"/>
  <c r="G539" i="8"/>
  <c r="E537" i="8"/>
  <c r="C536" i="8"/>
  <c r="I533" i="8"/>
  <c r="H533" i="8"/>
  <c r="F533" i="8"/>
  <c r="F532" i="8"/>
  <c r="F531" i="8"/>
  <c r="J530" i="8"/>
  <c r="I530" i="8"/>
  <c r="H530" i="8"/>
  <c r="G530" i="8"/>
  <c r="J529" i="8"/>
  <c r="I529" i="8"/>
  <c r="H529" i="8"/>
  <c r="G529" i="8"/>
  <c r="E527" i="8"/>
  <c r="D527" i="8"/>
  <c r="C527" i="8"/>
  <c r="I525" i="8"/>
  <c r="H525" i="8"/>
  <c r="F525" i="8"/>
  <c r="F524" i="8"/>
  <c r="F523" i="8"/>
  <c r="J522" i="8"/>
  <c r="I522" i="8"/>
  <c r="H522" i="8"/>
  <c r="G522" i="8"/>
  <c r="J521" i="8"/>
  <c r="I521" i="8"/>
  <c r="H521" i="8"/>
  <c r="G521" i="8"/>
  <c r="E519" i="8"/>
  <c r="D519" i="8"/>
  <c r="C519" i="8"/>
  <c r="I517" i="8"/>
  <c r="H517" i="8"/>
  <c r="F517" i="8"/>
  <c r="F516" i="8"/>
  <c r="F515" i="8"/>
  <c r="J514" i="8"/>
  <c r="I514" i="8"/>
  <c r="H514" i="8"/>
  <c r="G514" i="8"/>
  <c r="J513" i="8"/>
  <c r="I513" i="8"/>
  <c r="H513" i="8"/>
  <c r="G513" i="8"/>
  <c r="E511" i="8"/>
  <c r="D511" i="8"/>
  <c r="C511" i="8"/>
  <c r="I509" i="8"/>
  <c r="H509" i="8"/>
  <c r="F509" i="8"/>
  <c r="F508" i="8"/>
  <c r="F507" i="8"/>
  <c r="J506" i="8"/>
  <c r="I506" i="8"/>
  <c r="H506" i="8"/>
  <c r="G506" i="8"/>
  <c r="J505" i="8"/>
  <c r="I505" i="8"/>
  <c r="H505" i="8"/>
  <c r="G505" i="8"/>
  <c r="E503" i="8"/>
  <c r="D503" i="8"/>
  <c r="C503" i="8"/>
  <c r="I501" i="8"/>
  <c r="H501" i="8"/>
  <c r="F501" i="8"/>
  <c r="F500" i="8"/>
  <c r="F499" i="8"/>
  <c r="J498" i="8"/>
  <c r="I498" i="8"/>
  <c r="H498" i="8"/>
  <c r="G498" i="8"/>
  <c r="J497" i="8"/>
  <c r="I497" i="8"/>
  <c r="H497" i="8"/>
  <c r="G497" i="8"/>
  <c r="E495" i="8"/>
  <c r="D495" i="8"/>
  <c r="C495" i="8"/>
  <c r="I493" i="8"/>
  <c r="H493" i="8"/>
  <c r="F493" i="8"/>
  <c r="F492" i="8"/>
  <c r="F491" i="8"/>
  <c r="J490" i="8"/>
  <c r="I490" i="8"/>
  <c r="H490" i="8"/>
  <c r="G490" i="8"/>
  <c r="J489" i="8"/>
  <c r="I489" i="8"/>
  <c r="H489" i="8"/>
  <c r="G489" i="8"/>
  <c r="E488" i="8"/>
  <c r="D488" i="8"/>
  <c r="C488" i="8"/>
  <c r="C487" i="8"/>
  <c r="A485" i="8"/>
  <c r="I479" i="8"/>
  <c r="H479" i="8"/>
  <c r="F479" i="8"/>
  <c r="F478" i="8"/>
  <c r="F477" i="8"/>
  <c r="F476" i="8"/>
  <c r="J475" i="8"/>
  <c r="I475" i="8"/>
  <c r="H475" i="8"/>
  <c r="G475" i="8"/>
  <c r="J474" i="8"/>
  <c r="I474" i="8"/>
  <c r="H474" i="8"/>
  <c r="G474" i="8"/>
  <c r="J473" i="8"/>
  <c r="I473" i="8"/>
  <c r="H473" i="8"/>
  <c r="G473" i="8"/>
  <c r="J472" i="8"/>
  <c r="I472" i="8"/>
  <c r="H472" i="8"/>
  <c r="G472" i="8"/>
  <c r="E470" i="8"/>
  <c r="D470" i="8"/>
  <c r="C470" i="8"/>
  <c r="I468" i="8"/>
  <c r="H468" i="8"/>
  <c r="F468" i="8"/>
  <c r="F467" i="8"/>
  <c r="F466" i="8"/>
  <c r="F465" i="8"/>
  <c r="J464" i="8"/>
  <c r="I464" i="8"/>
  <c r="H464" i="8"/>
  <c r="G464" i="8"/>
  <c r="J463" i="8"/>
  <c r="I463" i="8"/>
  <c r="H463" i="8"/>
  <c r="G463" i="8"/>
  <c r="J462" i="8"/>
  <c r="I462" i="8"/>
  <c r="H462" i="8"/>
  <c r="G462" i="8"/>
  <c r="J461" i="8"/>
  <c r="I461" i="8"/>
  <c r="H461" i="8"/>
  <c r="G461" i="8"/>
  <c r="E459" i="8"/>
  <c r="D459" i="8"/>
  <c r="C459" i="8"/>
  <c r="I457" i="8"/>
  <c r="H457" i="8"/>
  <c r="F457" i="8"/>
  <c r="F456" i="8"/>
  <c r="F455" i="8"/>
  <c r="J454" i="8"/>
  <c r="I454" i="8"/>
  <c r="H454" i="8"/>
  <c r="G454" i="8"/>
  <c r="E452" i="8"/>
  <c r="D452" i="8"/>
  <c r="C452" i="8"/>
  <c r="A451" i="8"/>
  <c r="I445" i="8"/>
  <c r="H445" i="8"/>
  <c r="F445" i="8"/>
  <c r="F444" i="8"/>
  <c r="F443" i="8"/>
  <c r="J442" i="8"/>
  <c r="I442" i="8"/>
  <c r="H442" i="8"/>
  <c r="G442" i="8"/>
  <c r="J441" i="8"/>
  <c r="I441" i="8"/>
  <c r="H441" i="8"/>
  <c r="G441" i="8"/>
  <c r="J440" i="8"/>
  <c r="I440" i="8"/>
  <c r="H440" i="8"/>
  <c r="G440" i="8"/>
  <c r="E438" i="8"/>
  <c r="D438" i="8"/>
  <c r="C438" i="8"/>
  <c r="A437" i="8"/>
  <c r="I431" i="8"/>
  <c r="H431" i="8"/>
  <c r="F431" i="8"/>
  <c r="F430" i="8"/>
  <c r="F429" i="8"/>
  <c r="F428" i="8"/>
  <c r="J427" i="8"/>
  <c r="I427" i="8"/>
  <c r="H427" i="8"/>
  <c r="G427" i="8"/>
  <c r="J426" i="8"/>
  <c r="I426" i="8"/>
  <c r="H426" i="8"/>
  <c r="G426" i="8"/>
  <c r="J425" i="8"/>
  <c r="I425" i="8"/>
  <c r="H425" i="8"/>
  <c r="G425" i="8"/>
  <c r="J424" i="8"/>
  <c r="I424" i="8"/>
  <c r="H424" i="8"/>
  <c r="G424" i="8"/>
  <c r="E422" i="8"/>
  <c r="D422" i="8"/>
  <c r="C422" i="8"/>
  <c r="I420" i="8"/>
  <c r="H420" i="8"/>
  <c r="F420" i="8"/>
  <c r="F419" i="8"/>
  <c r="F418" i="8"/>
  <c r="J417" i="8"/>
  <c r="I417" i="8"/>
  <c r="H417" i="8"/>
  <c r="G417" i="8"/>
  <c r="E415" i="8"/>
  <c r="D415" i="8"/>
  <c r="C415" i="8"/>
  <c r="I413" i="8"/>
  <c r="H413" i="8"/>
  <c r="F413" i="8"/>
  <c r="F412" i="8"/>
  <c r="F411" i="8"/>
  <c r="F410" i="8"/>
  <c r="J409" i="8"/>
  <c r="I409" i="8"/>
  <c r="H409" i="8"/>
  <c r="G409" i="8"/>
  <c r="J408" i="8"/>
  <c r="I408" i="8"/>
  <c r="H408" i="8"/>
  <c r="G408" i="8"/>
  <c r="J407" i="8"/>
  <c r="I407" i="8"/>
  <c r="H407" i="8"/>
  <c r="G407" i="8"/>
  <c r="E405" i="8"/>
  <c r="D405" i="8"/>
  <c r="C405" i="8"/>
  <c r="I403" i="8"/>
  <c r="H403" i="8"/>
  <c r="F403" i="8"/>
  <c r="F402" i="8"/>
  <c r="F401" i="8"/>
  <c r="J400" i="8"/>
  <c r="I400" i="8"/>
  <c r="H400" i="8"/>
  <c r="G400" i="8"/>
  <c r="E398" i="8"/>
  <c r="D398" i="8"/>
  <c r="C398" i="8"/>
  <c r="I396" i="8"/>
  <c r="H396" i="8"/>
  <c r="F396" i="8"/>
  <c r="F395" i="8"/>
  <c r="F394" i="8"/>
  <c r="F393" i="8"/>
  <c r="J392" i="8"/>
  <c r="I392" i="8"/>
  <c r="H392" i="8"/>
  <c r="G392" i="8"/>
  <c r="J391" i="8"/>
  <c r="I391" i="8"/>
  <c r="H391" i="8"/>
  <c r="G391" i="8"/>
  <c r="J390" i="8"/>
  <c r="I390" i="8"/>
  <c r="H390" i="8"/>
  <c r="G390" i="8"/>
  <c r="E388" i="8"/>
  <c r="D388" i="8"/>
  <c r="C388" i="8"/>
  <c r="I386" i="8"/>
  <c r="H386" i="8"/>
  <c r="F386" i="8"/>
  <c r="F385" i="8"/>
  <c r="F384" i="8"/>
  <c r="J383" i="8"/>
  <c r="I383" i="8"/>
  <c r="H383" i="8"/>
  <c r="G383" i="8"/>
  <c r="J382" i="8"/>
  <c r="I382" i="8"/>
  <c r="H382" i="8"/>
  <c r="G382" i="8"/>
  <c r="E380" i="8"/>
  <c r="D380" i="8"/>
  <c r="C380" i="8"/>
  <c r="I378" i="8"/>
  <c r="H378" i="8"/>
  <c r="F378" i="8"/>
  <c r="F377" i="8"/>
  <c r="F376" i="8"/>
  <c r="F375" i="8"/>
  <c r="J374" i="8"/>
  <c r="I374" i="8"/>
  <c r="H374" i="8"/>
  <c r="G374" i="8"/>
  <c r="J373" i="8"/>
  <c r="I373" i="8"/>
  <c r="H373" i="8"/>
  <c r="G373" i="8"/>
  <c r="J372" i="8"/>
  <c r="I372" i="8"/>
  <c r="H372" i="8"/>
  <c r="G372" i="8"/>
  <c r="E370" i="8"/>
  <c r="D370" i="8"/>
  <c r="C370" i="8"/>
  <c r="I368" i="8"/>
  <c r="H368" i="8"/>
  <c r="F368" i="8"/>
  <c r="F367" i="8"/>
  <c r="F366" i="8"/>
  <c r="J365" i="8"/>
  <c r="I365" i="8"/>
  <c r="H365" i="8"/>
  <c r="G365" i="8"/>
  <c r="J364" i="8"/>
  <c r="I364" i="8"/>
  <c r="H364" i="8"/>
  <c r="G364" i="8"/>
  <c r="E362" i="8"/>
  <c r="D362" i="8"/>
  <c r="C362" i="8"/>
  <c r="I360" i="8"/>
  <c r="H360" i="8"/>
  <c r="F360" i="8"/>
  <c r="F359" i="8"/>
  <c r="F358" i="8"/>
  <c r="F357" i="8"/>
  <c r="J356" i="8"/>
  <c r="I356" i="8"/>
  <c r="H356" i="8"/>
  <c r="G356" i="8"/>
  <c r="J355" i="8"/>
  <c r="I355" i="8"/>
  <c r="H355" i="8"/>
  <c r="G355" i="8"/>
  <c r="J354" i="8"/>
  <c r="I354" i="8"/>
  <c r="H354" i="8"/>
  <c r="G354" i="8"/>
  <c r="E352" i="8"/>
  <c r="D352" i="8"/>
  <c r="C352" i="8"/>
  <c r="I350" i="8"/>
  <c r="H350" i="8"/>
  <c r="F350" i="8"/>
  <c r="F349" i="8"/>
  <c r="F348" i="8"/>
  <c r="J347" i="8"/>
  <c r="I347" i="8"/>
  <c r="H347" i="8"/>
  <c r="G347" i="8"/>
  <c r="E345" i="8"/>
  <c r="D345" i="8"/>
  <c r="C345" i="8"/>
  <c r="I343" i="8"/>
  <c r="H343" i="8"/>
  <c r="F343" i="8"/>
  <c r="F342" i="8"/>
  <c r="F341" i="8"/>
  <c r="F340" i="8"/>
  <c r="J339" i="8"/>
  <c r="I339" i="8"/>
  <c r="H339" i="8"/>
  <c r="G339" i="8"/>
  <c r="J338" i="8"/>
  <c r="I338" i="8"/>
  <c r="H338" i="8"/>
  <c r="G338" i="8"/>
  <c r="J337" i="8"/>
  <c r="I337" i="8"/>
  <c r="H337" i="8"/>
  <c r="G337" i="8"/>
  <c r="J336" i="8"/>
  <c r="I336" i="8"/>
  <c r="H336" i="8"/>
  <c r="G336" i="8"/>
  <c r="E334" i="8"/>
  <c r="D334" i="8"/>
  <c r="C334" i="8"/>
  <c r="I332" i="8"/>
  <c r="H332" i="8"/>
  <c r="F332" i="8"/>
  <c r="F331" i="8"/>
  <c r="F330" i="8"/>
  <c r="F329" i="8"/>
  <c r="J328" i="8"/>
  <c r="I328" i="8"/>
  <c r="H328" i="8"/>
  <c r="G328" i="8"/>
  <c r="J327" i="8"/>
  <c r="I327" i="8"/>
  <c r="H327" i="8"/>
  <c r="G327" i="8"/>
  <c r="J326" i="8"/>
  <c r="I326" i="8"/>
  <c r="H326" i="8"/>
  <c r="G326" i="8"/>
  <c r="J325" i="8"/>
  <c r="I325" i="8"/>
  <c r="H325" i="8"/>
  <c r="G325" i="8"/>
  <c r="E323" i="8"/>
  <c r="D323" i="8"/>
  <c r="C323" i="8"/>
  <c r="A322" i="8"/>
  <c r="AE320" i="8"/>
  <c r="A320" i="8"/>
  <c r="I311" i="8"/>
  <c r="H311" i="8"/>
  <c r="F311" i="8"/>
  <c r="F310" i="8"/>
  <c r="F309" i="8"/>
  <c r="J308" i="8"/>
  <c r="I308" i="8"/>
  <c r="H308" i="8"/>
  <c r="G308" i="8"/>
  <c r="J307" i="8"/>
  <c r="I307" i="8"/>
  <c r="H307" i="8"/>
  <c r="G307" i="8"/>
  <c r="E305" i="8"/>
  <c r="D305" i="8"/>
  <c r="C305" i="8"/>
  <c r="I303" i="8"/>
  <c r="H303" i="8"/>
  <c r="F303" i="8"/>
  <c r="F302" i="8"/>
  <c r="F301" i="8"/>
  <c r="J300" i="8"/>
  <c r="I300" i="8"/>
  <c r="H300" i="8"/>
  <c r="G300" i="8"/>
  <c r="J299" i="8"/>
  <c r="I299" i="8"/>
  <c r="H299" i="8"/>
  <c r="G299" i="8"/>
  <c r="E297" i="8"/>
  <c r="D297" i="8"/>
  <c r="C297" i="8"/>
  <c r="C296" i="8"/>
  <c r="I293" i="8"/>
  <c r="H293" i="8"/>
  <c r="F293" i="8"/>
  <c r="F292" i="8"/>
  <c r="F291" i="8"/>
  <c r="J290" i="8"/>
  <c r="I290" i="8"/>
  <c r="H290" i="8"/>
  <c r="G290" i="8"/>
  <c r="J289" i="8"/>
  <c r="I289" i="8"/>
  <c r="H289" i="8"/>
  <c r="G289" i="8"/>
  <c r="E287" i="8"/>
  <c r="D287" i="8"/>
  <c r="C287" i="8"/>
  <c r="I285" i="8"/>
  <c r="H285" i="8"/>
  <c r="F285" i="8"/>
  <c r="F284" i="8"/>
  <c r="F283" i="8"/>
  <c r="J282" i="8"/>
  <c r="I282" i="8"/>
  <c r="H282" i="8"/>
  <c r="G282" i="8"/>
  <c r="J281" i="8"/>
  <c r="I281" i="8"/>
  <c r="H281" i="8"/>
  <c r="G281" i="8"/>
  <c r="E279" i="8"/>
  <c r="D279" i="8"/>
  <c r="C279" i="8"/>
  <c r="C278" i="8"/>
  <c r="I275" i="8"/>
  <c r="H275" i="8"/>
  <c r="F275" i="8"/>
  <c r="F274" i="8"/>
  <c r="F273" i="8"/>
  <c r="J272" i="8"/>
  <c r="I272" i="8"/>
  <c r="H272" i="8"/>
  <c r="G272" i="8"/>
  <c r="J271" i="8"/>
  <c r="I271" i="8"/>
  <c r="H271" i="8"/>
  <c r="G271" i="8"/>
  <c r="E269" i="8"/>
  <c r="D269" i="8"/>
  <c r="C269" i="8"/>
  <c r="I267" i="8"/>
  <c r="H267" i="8"/>
  <c r="F267" i="8"/>
  <c r="F266" i="8"/>
  <c r="F265" i="8"/>
  <c r="F264" i="8"/>
  <c r="J263" i="8"/>
  <c r="I263" i="8"/>
  <c r="H263" i="8"/>
  <c r="G263" i="8"/>
  <c r="J262" i="8"/>
  <c r="I262" i="8"/>
  <c r="H262" i="8"/>
  <c r="G262" i="8"/>
  <c r="J261" i="8"/>
  <c r="I261" i="8"/>
  <c r="H261" i="8"/>
  <c r="G261" i="8"/>
  <c r="J260" i="8"/>
  <c r="I260" i="8"/>
  <c r="H260" i="8"/>
  <c r="G260" i="8"/>
  <c r="E258" i="8"/>
  <c r="D258" i="8"/>
  <c r="C258" i="8"/>
  <c r="C257" i="8"/>
  <c r="I254" i="8"/>
  <c r="H254" i="8"/>
  <c r="F254" i="8"/>
  <c r="F253" i="8"/>
  <c r="F252" i="8"/>
  <c r="J251" i="8"/>
  <c r="I251" i="8"/>
  <c r="H251" i="8"/>
  <c r="G251" i="8"/>
  <c r="J250" i="8"/>
  <c r="I250" i="8"/>
  <c r="H250" i="8"/>
  <c r="G250" i="8"/>
  <c r="E248" i="8"/>
  <c r="I246" i="8"/>
  <c r="H246" i="8"/>
  <c r="F246" i="8"/>
  <c r="F245" i="8"/>
  <c r="F244" i="8"/>
  <c r="J243" i="8"/>
  <c r="I243" i="8"/>
  <c r="H243" i="8"/>
  <c r="G243" i="8"/>
  <c r="J242" i="8"/>
  <c r="I242" i="8"/>
  <c r="H242" i="8"/>
  <c r="G242" i="8"/>
  <c r="E240" i="8"/>
  <c r="C239" i="8"/>
  <c r="I236" i="8"/>
  <c r="H236" i="8"/>
  <c r="F236" i="8"/>
  <c r="F235" i="8"/>
  <c r="F234" i="8"/>
  <c r="J233" i="8"/>
  <c r="I233" i="8"/>
  <c r="H233" i="8"/>
  <c r="G233" i="8"/>
  <c r="J232" i="8"/>
  <c r="I232" i="8"/>
  <c r="H232" i="8"/>
  <c r="G232" i="8"/>
  <c r="E230" i="8"/>
  <c r="D230" i="8"/>
  <c r="C230" i="8"/>
  <c r="I228" i="8"/>
  <c r="H228" i="8"/>
  <c r="F228" i="8"/>
  <c r="F227" i="8"/>
  <c r="F226" i="8"/>
  <c r="J225" i="8"/>
  <c r="I225" i="8"/>
  <c r="H225" i="8"/>
  <c r="G225" i="8"/>
  <c r="J224" i="8"/>
  <c r="I224" i="8"/>
  <c r="H224" i="8"/>
  <c r="G224" i="8"/>
  <c r="E222" i="8"/>
  <c r="D222" i="8"/>
  <c r="C222" i="8"/>
  <c r="I220" i="8"/>
  <c r="H220" i="8"/>
  <c r="F220" i="8"/>
  <c r="F219" i="8"/>
  <c r="F218" i="8"/>
  <c r="J217" i="8"/>
  <c r="I217" i="8"/>
  <c r="H217" i="8"/>
  <c r="G217" i="8"/>
  <c r="J216" i="8"/>
  <c r="I216" i="8"/>
  <c r="H216" i="8"/>
  <c r="G216" i="8"/>
  <c r="E214" i="8"/>
  <c r="D214" i="8"/>
  <c r="C214" i="8"/>
  <c r="I212" i="8"/>
  <c r="H212" i="8"/>
  <c r="F212" i="8"/>
  <c r="F211" i="8"/>
  <c r="F210" i="8"/>
  <c r="J209" i="8"/>
  <c r="I209" i="8"/>
  <c r="H209" i="8"/>
  <c r="G209" i="8"/>
  <c r="J208" i="8"/>
  <c r="I208" i="8"/>
  <c r="H208" i="8"/>
  <c r="G208" i="8"/>
  <c r="E206" i="8"/>
  <c r="D206" i="8"/>
  <c r="C206" i="8"/>
  <c r="I204" i="8"/>
  <c r="H204" i="8"/>
  <c r="F204" i="8"/>
  <c r="F203" i="8"/>
  <c r="F202" i="8"/>
  <c r="J201" i="8"/>
  <c r="I201" i="8"/>
  <c r="H201" i="8"/>
  <c r="G201" i="8"/>
  <c r="J200" i="8"/>
  <c r="I200" i="8"/>
  <c r="H200" i="8"/>
  <c r="G200" i="8"/>
  <c r="E198" i="8"/>
  <c r="D198" i="8"/>
  <c r="C198" i="8"/>
  <c r="C197" i="8"/>
  <c r="A195" i="8"/>
  <c r="I189" i="8"/>
  <c r="H189" i="8"/>
  <c r="F189" i="8"/>
  <c r="F188" i="8"/>
  <c r="F187" i="8"/>
  <c r="F186" i="8"/>
  <c r="J185" i="8"/>
  <c r="I185" i="8"/>
  <c r="H185" i="8"/>
  <c r="G185" i="8"/>
  <c r="J184" i="8"/>
  <c r="I184" i="8"/>
  <c r="H184" i="8"/>
  <c r="G184" i="8"/>
  <c r="J183" i="8"/>
  <c r="I183" i="8"/>
  <c r="H183" i="8"/>
  <c r="G183" i="8"/>
  <c r="J182" i="8"/>
  <c r="I182" i="8"/>
  <c r="H182" i="8"/>
  <c r="G182" i="8"/>
  <c r="E180" i="8"/>
  <c r="D180" i="8"/>
  <c r="C180" i="8"/>
  <c r="I178" i="8"/>
  <c r="H178" i="8"/>
  <c r="F178" i="8"/>
  <c r="F177" i="8"/>
  <c r="F176" i="8"/>
  <c r="F175" i="8"/>
  <c r="J174" i="8"/>
  <c r="I174" i="8"/>
  <c r="H174" i="8"/>
  <c r="G174" i="8"/>
  <c r="J173" i="8"/>
  <c r="I173" i="8"/>
  <c r="H173" i="8"/>
  <c r="G173" i="8"/>
  <c r="J172" i="8"/>
  <c r="I172" i="8"/>
  <c r="H172" i="8"/>
  <c r="G172" i="8"/>
  <c r="J171" i="8"/>
  <c r="I171" i="8"/>
  <c r="H171" i="8"/>
  <c r="G171" i="8"/>
  <c r="E169" i="8"/>
  <c r="D169" i="8"/>
  <c r="C169" i="8"/>
  <c r="I167" i="8"/>
  <c r="H167" i="8"/>
  <c r="F167" i="8"/>
  <c r="F166" i="8"/>
  <c r="F165" i="8"/>
  <c r="J164" i="8"/>
  <c r="I164" i="8"/>
  <c r="H164" i="8"/>
  <c r="G164" i="8"/>
  <c r="E162" i="8"/>
  <c r="D162" i="8"/>
  <c r="C162" i="8"/>
  <c r="A161" i="8"/>
  <c r="I155" i="8"/>
  <c r="H155" i="8"/>
  <c r="F155" i="8"/>
  <c r="F154" i="8"/>
  <c r="F153" i="8"/>
  <c r="J152" i="8"/>
  <c r="I152" i="8"/>
  <c r="H152" i="8"/>
  <c r="G152" i="8"/>
  <c r="J151" i="8"/>
  <c r="I151" i="8"/>
  <c r="H151" i="8"/>
  <c r="G151" i="8"/>
  <c r="J150" i="8"/>
  <c r="I150" i="8"/>
  <c r="H150" i="8"/>
  <c r="G150" i="8"/>
  <c r="E148" i="8"/>
  <c r="D148" i="8"/>
  <c r="C148" i="8"/>
  <c r="A147" i="8"/>
  <c r="I141" i="8"/>
  <c r="H141" i="8"/>
  <c r="F141" i="8"/>
  <c r="F140" i="8"/>
  <c r="F139" i="8"/>
  <c r="J138" i="8"/>
  <c r="I138" i="8"/>
  <c r="H138" i="8"/>
  <c r="G138" i="8"/>
  <c r="E136" i="8"/>
  <c r="D136" i="8"/>
  <c r="C136" i="8"/>
  <c r="I134" i="8"/>
  <c r="H134" i="8"/>
  <c r="F134" i="8"/>
  <c r="F133" i="8"/>
  <c r="F132" i="8"/>
  <c r="J131" i="8"/>
  <c r="I131" i="8"/>
  <c r="H131" i="8"/>
  <c r="G131" i="8"/>
  <c r="J130" i="8"/>
  <c r="I130" i="8"/>
  <c r="H130" i="8"/>
  <c r="G130" i="8"/>
  <c r="E128" i="8"/>
  <c r="D128" i="8"/>
  <c r="C128" i="8"/>
  <c r="I126" i="8"/>
  <c r="H126" i="8"/>
  <c r="F126" i="8"/>
  <c r="F125" i="8"/>
  <c r="F124" i="8"/>
  <c r="J123" i="8"/>
  <c r="I123" i="8"/>
  <c r="H123" i="8"/>
  <c r="G123" i="8"/>
  <c r="E121" i="8"/>
  <c r="D121" i="8"/>
  <c r="C121" i="8"/>
  <c r="I119" i="8"/>
  <c r="H119" i="8"/>
  <c r="F119" i="8"/>
  <c r="F118" i="8"/>
  <c r="F117" i="8"/>
  <c r="F116" i="8"/>
  <c r="J115" i="8"/>
  <c r="I115" i="8"/>
  <c r="H115" i="8"/>
  <c r="G115" i="8"/>
  <c r="J114" i="8"/>
  <c r="I114" i="8"/>
  <c r="H114" i="8"/>
  <c r="G114" i="8"/>
  <c r="J113" i="8"/>
  <c r="I113" i="8"/>
  <c r="H113" i="8"/>
  <c r="G113" i="8"/>
  <c r="E111" i="8"/>
  <c r="D111" i="8"/>
  <c r="C111" i="8"/>
  <c r="I109" i="8"/>
  <c r="H109" i="8"/>
  <c r="F109" i="8"/>
  <c r="F108" i="8"/>
  <c r="F107" i="8"/>
  <c r="J106" i="8"/>
  <c r="I106" i="8"/>
  <c r="H106" i="8"/>
  <c r="G106" i="8"/>
  <c r="E104" i="8"/>
  <c r="D104" i="8"/>
  <c r="C104" i="8"/>
  <c r="I102" i="8"/>
  <c r="H102" i="8"/>
  <c r="F102" i="8"/>
  <c r="F101" i="8"/>
  <c r="F100" i="8"/>
  <c r="F99" i="8"/>
  <c r="J98" i="8"/>
  <c r="I98" i="8"/>
  <c r="H98" i="8"/>
  <c r="G98" i="8"/>
  <c r="J97" i="8"/>
  <c r="I97" i="8"/>
  <c r="H97" i="8"/>
  <c r="G97" i="8"/>
  <c r="J96" i="8"/>
  <c r="I96" i="8"/>
  <c r="H96" i="8"/>
  <c r="G96" i="8"/>
  <c r="J95" i="8"/>
  <c r="I95" i="8"/>
  <c r="H95" i="8"/>
  <c r="G95" i="8"/>
  <c r="E93" i="8"/>
  <c r="D93" i="8"/>
  <c r="C93" i="8"/>
  <c r="I91" i="8"/>
  <c r="H91" i="8"/>
  <c r="F91" i="8"/>
  <c r="F90" i="8"/>
  <c r="F89" i="8"/>
  <c r="F88" i="8"/>
  <c r="J87" i="8"/>
  <c r="I87" i="8"/>
  <c r="H87" i="8"/>
  <c r="G87" i="8"/>
  <c r="J86" i="8"/>
  <c r="I86" i="8"/>
  <c r="H86" i="8"/>
  <c r="G86" i="8"/>
  <c r="J85" i="8"/>
  <c r="I85" i="8"/>
  <c r="H85" i="8"/>
  <c r="G85" i="8"/>
  <c r="J84" i="8"/>
  <c r="I84" i="8"/>
  <c r="H84" i="8"/>
  <c r="G84" i="8"/>
  <c r="E82" i="8"/>
  <c r="D82" i="8"/>
  <c r="C82" i="8"/>
  <c r="I80" i="8"/>
  <c r="H80" i="8"/>
  <c r="F80" i="8"/>
  <c r="F79" i="8"/>
  <c r="F78" i="8"/>
  <c r="F77" i="8"/>
  <c r="J76" i="8"/>
  <c r="I76" i="8"/>
  <c r="H76" i="8"/>
  <c r="G76" i="8"/>
  <c r="J75" i="8"/>
  <c r="I75" i="8"/>
  <c r="H75" i="8"/>
  <c r="G75" i="8"/>
  <c r="J74" i="8"/>
  <c r="I74" i="8"/>
  <c r="H74" i="8"/>
  <c r="G74" i="8"/>
  <c r="J73" i="8"/>
  <c r="I73" i="8"/>
  <c r="H73" i="8"/>
  <c r="G73" i="8"/>
  <c r="E71" i="8"/>
  <c r="D71" i="8"/>
  <c r="C71" i="8"/>
  <c r="I69" i="8"/>
  <c r="H69" i="8"/>
  <c r="F69" i="8"/>
  <c r="F68" i="8"/>
  <c r="F67" i="8"/>
  <c r="F66" i="8"/>
  <c r="J65" i="8"/>
  <c r="I65" i="8"/>
  <c r="H65" i="8"/>
  <c r="G65" i="8"/>
  <c r="J64" i="8"/>
  <c r="I64" i="8"/>
  <c r="H64" i="8"/>
  <c r="G64" i="8"/>
  <c r="J63" i="8"/>
  <c r="I63" i="8"/>
  <c r="H63" i="8"/>
  <c r="G63" i="8"/>
  <c r="E61" i="8"/>
  <c r="D61" i="8"/>
  <c r="C61" i="8"/>
  <c r="I59" i="8"/>
  <c r="H59" i="8"/>
  <c r="F59" i="8"/>
  <c r="F58" i="8"/>
  <c r="F57" i="8"/>
  <c r="F56" i="8"/>
  <c r="J55" i="8"/>
  <c r="I55" i="8"/>
  <c r="H55" i="8"/>
  <c r="G55" i="8"/>
  <c r="J54" i="8"/>
  <c r="I54" i="8"/>
  <c r="H54" i="8"/>
  <c r="G54" i="8"/>
  <c r="J53" i="8"/>
  <c r="I53" i="8"/>
  <c r="H53" i="8"/>
  <c r="G53" i="8"/>
  <c r="J52" i="8"/>
  <c r="I52" i="8"/>
  <c r="H52" i="8"/>
  <c r="G52" i="8"/>
  <c r="E50" i="8"/>
  <c r="D50" i="8"/>
  <c r="C50" i="8"/>
  <c r="I48" i="8"/>
  <c r="H48" i="8"/>
  <c r="F48" i="8"/>
  <c r="F47" i="8"/>
  <c r="F46" i="8"/>
  <c r="J45" i="8"/>
  <c r="I45" i="8"/>
  <c r="H45" i="8"/>
  <c r="G45" i="8"/>
  <c r="E43" i="8"/>
  <c r="D43" i="8"/>
  <c r="C43" i="8"/>
  <c r="A42" i="8"/>
  <c r="A40" i="8"/>
  <c r="A38" i="8"/>
  <c r="J26" i="8"/>
  <c r="I26" i="8"/>
  <c r="H26" i="8"/>
  <c r="G26" i="8"/>
  <c r="J22" i="8"/>
  <c r="J21" i="8"/>
  <c r="J20" i="8"/>
  <c r="J19" i="8"/>
  <c r="J16" i="8"/>
  <c r="C17" i="8"/>
  <c r="J14" i="8"/>
  <c r="J12" i="8"/>
  <c r="C13" i="8"/>
  <c r="J10" i="8"/>
  <c r="C11" i="8"/>
  <c r="J8" i="8"/>
  <c r="C9" i="8"/>
  <c r="A1" i="8"/>
  <c r="A1" i="4" l="1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0" i="4"/>
  <c r="A201" i="4"/>
  <c r="A202" i="4"/>
  <c r="A203" i="4"/>
  <c r="A204" i="4"/>
  <c r="A205" i="4"/>
  <c r="A206" i="4"/>
  <c r="A207" i="4"/>
  <c r="A208" i="4"/>
  <c r="A209" i="4"/>
  <c r="A210" i="4"/>
  <c r="A211" i="4"/>
  <c r="A212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40" i="4"/>
  <c r="A241" i="4"/>
  <c r="A242" i="4"/>
  <c r="A243" i="4"/>
  <c r="A244" i="4"/>
  <c r="A245" i="4"/>
  <c r="A246" i="4"/>
  <c r="A247" i="4"/>
  <c r="A248" i="4"/>
  <c r="A249" i="4"/>
  <c r="A250" i="4"/>
  <c r="A251" i="4"/>
  <c r="A252" i="4"/>
  <c r="A253" i="4"/>
  <c r="A254" i="4"/>
  <c r="A255" i="4"/>
  <c r="A256" i="4"/>
  <c r="A257" i="4"/>
  <c r="A258" i="4"/>
  <c r="A259" i="4"/>
  <c r="A260" i="4"/>
  <c r="A261" i="4"/>
  <c r="A262" i="4"/>
  <c r="A263" i="4"/>
  <c r="A264" i="4"/>
  <c r="A265" i="4"/>
  <c r="A266" i="4"/>
  <c r="A267" i="4"/>
  <c r="A268" i="4"/>
  <c r="A269" i="4"/>
  <c r="A270" i="4"/>
  <c r="A271" i="4"/>
  <c r="A272" i="4"/>
  <c r="A273" i="4"/>
  <c r="A274" i="4"/>
  <c r="A275" i="4"/>
  <c r="A276" i="4"/>
  <c r="A277" i="4"/>
  <c r="A278" i="4"/>
  <c r="A279" i="4"/>
  <c r="A280" i="4"/>
  <c r="A281" i="4"/>
  <c r="A282" i="4"/>
  <c r="A283" i="4"/>
  <c r="A284" i="4"/>
  <c r="A285" i="4"/>
  <c r="A286" i="4"/>
  <c r="A287" i="4"/>
  <c r="A288" i="4"/>
  <c r="A289" i="4"/>
  <c r="A290" i="4"/>
  <c r="A291" i="4"/>
  <c r="A292" i="4"/>
  <c r="A293" i="4"/>
  <c r="A294" i="4"/>
  <c r="A295" i="4"/>
  <c r="A296" i="4"/>
  <c r="A297" i="4"/>
  <c r="A298" i="4"/>
  <c r="A299" i="4"/>
  <c r="A300" i="4"/>
  <c r="A301" i="4"/>
  <c r="A302" i="4"/>
  <c r="A303" i="4"/>
  <c r="A304" i="4"/>
  <c r="A305" i="4"/>
  <c r="A306" i="4"/>
  <c r="A307" i="4"/>
  <c r="A308" i="4"/>
  <c r="A309" i="4"/>
  <c r="A310" i="4"/>
  <c r="A311" i="4"/>
  <c r="A312" i="4"/>
  <c r="A313" i="4"/>
  <c r="A314" i="4"/>
  <c r="A315" i="4"/>
  <c r="A316" i="4"/>
  <c r="A317" i="4"/>
  <c r="A318" i="4"/>
  <c r="A319" i="4"/>
  <c r="A320" i="4"/>
  <c r="A321" i="4"/>
  <c r="A322" i="4"/>
  <c r="A323" i="4"/>
  <c r="A324" i="4"/>
  <c r="A325" i="4"/>
  <c r="A326" i="4"/>
  <c r="A327" i="4"/>
  <c r="A328" i="4"/>
  <c r="A329" i="4"/>
  <c r="A330" i="4"/>
  <c r="A331" i="4"/>
  <c r="A332" i="4"/>
  <c r="A333" i="4"/>
  <c r="A334" i="4"/>
  <c r="A335" i="4"/>
  <c r="A336" i="4"/>
  <c r="A337" i="4"/>
  <c r="A338" i="4"/>
  <c r="A339" i="4"/>
  <c r="A340" i="4"/>
  <c r="A341" i="4"/>
  <c r="A342" i="4"/>
  <c r="A343" i="4"/>
  <c r="A344" i="4"/>
  <c r="A345" i="4"/>
  <c r="A346" i="4"/>
  <c r="A347" i="4"/>
  <c r="A348" i="4"/>
  <c r="A349" i="4"/>
  <c r="A350" i="4"/>
  <c r="A351" i="4"/>
  <c r="A352" i="4"/>
  <c r="A353" i="4"/>
  <c r="A354" i="4"/>
  <c r="A355" i="4"/>
  <c r="A356" i="4"/>
  <c r="A357" i="4"/>
  <c r="A358" i="4"/>
  <c r="A359" i="4"/>
  <c r="A360" i="4"/>
  <c r="A361" i="4"/>
  <c r="A362" i="4"/>
  <c r="A363" i="4"/>
  <c r="A364" i="4"/>
  <c r="A365" i="4"/>
  <c r="A366" i="4"/>
  <c r="A367" i="4"/>
  <c r="A368" i="4"/>
  <c r="A369" i="4"/>
  <c r="A370" i="4"/>
  <c r="A371" i="4"/>
  <c r="A372" i="4"/>
  <c r="A373" i="4"/>
  <c r="A374" i="4"/>
  <c r="A375" i="4"/>
  <c r="A376" i="4"/>
  <c r="A377" i="4"/>
  <c r="A378" i="4"/>
  <c r="A379" i="4"/>
  <c r="A380" i="4"/>
  <c r="A381" i="4"/>
  <c r="A382" i="4"/>
  <c r="A383" i="4"/>
  <c r="A384" i="4"/>
  <c r="A385" i="4"/>
  <c r="A386" i="4"/>
  <c r="A387" i="4"/>
  <c r="A388" i="4"/>
  <c r="A389" i="4"/>
  <c r="A390" i="4"/>
  <c r="A391" i="4"/>
  <c r="A392" i="4"/>
  <c r="A393" i="4"/>
  <c r="A394" i="4"/>
  <c r="A395" i="4"/>
  <c r="A396" i="4"/>
  <c r="A397" i="4"/>
  <c r="A398" i="4"/>
  <c r="A399" i="4"/>
  <c r="A400" i="4"/>
  <c r="A401" i="4"/>
  <c r="A402" i="4"/>
  <c r="A403" i="4"/>
  <c r="A404" i="4"/>
  <c r="A405" i="4"/>
  <c r="A406" i="4"/>
  <c r="A407" i="4"/>
  <c r="A408" i="4"/>
  <c r="A409" i="4"/>
  <c r="A410" i="4"/>
  <c r="A411" i="4"/>
  <c r="A412" i="4"/>
  <c r="A413" i="4"/>
  <c r="A414" i="4"/>
  <c r="A415" i="4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BX26" i="1"/>
  <c r="BY26" i="1"/>
  <c r="BZ26" i="1"/>
  <c r="CA26" i="1"/>
  <c r="CB26" i="1"/>
  <c r="CC26" i="1"/>
  <c r="CD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D28" i="1"/>
  <c r="E30" i="1"/>
  <c r="G30" i="1"/>
  <c r="Z30" i="1"/>
  <c r="AA30" i="1"/>
  <c r="AM30" i="1"/>
  <c r="AN30" i="1"/>
  <c r="BE30" i="1"/>
  <c r="BF30" i="1"/>
  <c r="BG30" i="1"/>
  <c r="BH30" i="1"/>
  <c r="BI30" i="1"/>
  <c r="BJ30" i="1"/>
  <c r="BK30" i="1"/>
  <c r="BL30" i="1"/>
  <c r="BM30" i="1"/>
  <c r="BN30" i="1"/>
  <c r="BO30" i="1"/>
  <c r="BP30" i="1"/>
  <c r="BQ30" i="1"/>
  <c r="BR30" i="1"/>
  <c r="BS30" i="1"/>
  <c r="BT30" i="1"/>
  <c r="BU30" i="1"/>
  <c r="BV30" i="1"/>
  <c r="BW30" i="1"/>
  <c r="CN30" i="1"/>
  <c r="CO30" i="1"/>
  <c r="CP30" i="1"/>
  <c r="CQ30" i="1"/>
  <c r="CR30" i="1"/>
  <c r="CS30" i="1"/>
  <c r="CT30" i="1"/>
  <c r="CU30" i="1"/>
  <c r="CV30" i="1"/>
  <c r="CW30" i="1"/>
  <c r="CX30" i="1"/>
  <c r="CY30" i="1"/>
  <c r="CZ30" i="1"/>
  <c r="DA30" i="1"/>
  <c r="DB30" i="1"/>
  <c r="DC30" i="1"/>
  <c r="DD30" i="1"/>
  <c r="DE30" i="1"/>
  <c r="DF30" i="1"/>
  <c r="DG30" i="1"/>
  <c r="DH30" i="1"/>
  <c r="DI30" i="1"/>
  <c r="DJ30" i="1"/>
  <c r="DK30" i="1"/>
  <c r="DL30" i="1"/>
  <c r="DM30" i="1"/>
  <c r="DN30" i="1"/>
  <c r="DO30" i="1"/>
  <c r="DP30" i="1"/>
  <c r="DQ30" i="1"/>
  <c r="DR30" i="1"/>
  <c r="DS30" i="1"/>
  <c r="DT30" i="1"/>
  <c r="DU30" i="1"/>
  <c r="DV30" i="1"/>
  <c r="DW30" i="1"/>
  <c r="DX30" i="1"/>
  <c r="DY30" i="1"/>
  <c r="DZ30" i="1"/>
  <c r="EA30" i="1"/>
  <c r="EB30" i="1"/>
  <c r="EC30" i="1"/>
  <c r="ED30" i="1"/>
  <c r="EE30" i="1"/>
  <c r="EF30" i="1"/>
  <c r="EG30" i="1"/>
  <c r="EH30" i="1"/>
  <c r="EI30" i="1"/>
  <c r="EJ30" i="1"/>
  <c r="EK30" i="1"/>
  <c r="EL30" i="1"/>
  <c r="EM30" i="1"/>
  <c r="EN30" i="1"/>
  <c r="EO30" i="1"/>
  <c r="EP30" i="1"/>
  <c r="EQ30" i="1"/>
  <c r="ER30" i="1"/>
  <c r="ES30" i="1"/>
  <c r="ET30" i="1"/>
  <c r="EU30" i="1"/>
  <c r="EV30" i="1"/>
  <c r="EW30" i="1"/>
  <c r="EX30" i="1"/>
  <c r="EY30" i="1"/>
  <c r="EZ30" i="1"/>
  <c r="FA30" i="1"/>
  <c r="FB30" i="1"/>
  <c r="FC30" i="1"/>
  <c r="FD30" i="1"/>
  <c r="FE30" i="1"/>
  <c r="FF30" i="1"/>
  <c r="FG30" i="1"/>
  <c r="FH30" i="1"/>
  <c r="FI30" i="1"/>
  <c r="FJ30" i="1"/>
  <c r="FK30" i="1"/>
  <c r="FL30" i="1"/>
  <c r="FM30" i="1"/>
  <c r="FN30" i="1"/>
  <c r="FO30" i="1"/>
  <c r="FP30" i="1"/>
  <c r="FQ30" i="1"/>
  <c r="FR30" i="1"/>
  <c r="FS30" i="1"/>
  <c r="FT30" i="1"/>
  <c r="FU30" i="1"/>
  <c r="FV30" i="1"/>
  <c r="FW30" i="1"/>
  <c r="FX30" i="1"/>
  <c r="FY30" i="1"/>
  <c r="FZ30" i="1"/>
  <c r="GA30" i="1"/>
  <c r="GB30" i="1"/>
  <c r="GC30" i="1"/>
  <c r="GD30" i="1"/>
  <c r="GE30" i="1"/>
  <c r="GF30" i="1"/>
  <c r="GG30" i="1"/>
  <c r="GH30" i="1"/>
  <c r="GI30" i="1"/>
  <c r="GJ30" i="1"/>
  <c r="GK30" i="1"/>
  <c r="GL30" i="1"/>
  <c r="GM30" i="1"/>
  <c r="GN30" i="1"/>
  <c r="GO30" i="1"/>
  <c r="GP30" i="1"/>
  <c r="GQ30" i="1"/>
  <c r="GR30" i="1"/>
  <c r="GS30" i="1"/>
  <c r="GT30" i="1"/>
  <c r="GU30" i="1"/>
  <c r="GV30" i="1"/>
  <c r="GW30" i="1"/>
  <c r="GX30" i="1"/>
  <c r="D32" i="1"/>
  <c r="I32" i="1"/>
  <c r="K32" i="1"/>
  <c r="AC32" i="1"/>
  <c r="CQ32" i="1" s="1"/>
  <c r="AE32" i="1"/>
  <c r="AF32" i="1"/>
  <c r="CT32" i="1" s="1"/>
  <c r="S32" i="1" s="1"/>
  <c r="CY32" i="1" s="1"/>
  <c r="X32" i="1" s="1"/>
  <c r="AG32" i="1"/>
  <c r="CU32" i="1" s="1"/>
  <c r="AH32" i="1"/>
  <c r="CV32" i="1" s="1"/>
  <c r="U32" i="1" s="1"/>
  <c r="AI32" i="1"/>
  <c r="AJ32" i="1"/>
  <c r="CW32" i="1"/>
  <c r="V32" i="1" s="1"/>
  <c r="CX32" i="1"/>
  <c r="W32" i="1" s="1"/>
  <c r="FR32" i="1"/>
  <c r="GL32" i="1"/>
  <c r="GN32" i="1"/>
  <c r="GO32" i="1"/>
  <c r="GV32" i="1"/>
  <c r="HC32" i="1" s="1"/>
  <c r="GX32" i="1" s="1"/>
  <c r="D33" i="1"/>
  <c r="I33" i="1"/>
  <c r="K33" i="1"/>
  <c r="AC33" i="1"/>
  <c r="AE33" i="1"/>
  <c r="AF33" i="1"/>
  <c r="CT33" i="1" s="1"/>
  <c r="S33" i="1" s="1"/>
  <c r="AG33" i="1"/>
  <c r="CU33" i="1" s="1"/>
  <c r="AH33" i="1"/>
  <c r="CV33" i="1" s="1"/>
  <c r="AI33" i="1"/>
  <c r="CW33" i="1" s="1"/>
  <c r="AJ33" i="1"/>
  <c r="CX33" i="1" s="1"/>
  <c r="CQ33" i="1"/>
  <c r="P33" i="1" s="1"/>
  <c r="FR33" i="1"/>
  <c r="GL33" i="1"/>
  <c r="GN33" i="1"/>
  <c r="GO33" i="1"/>
  <c r="GV33" i="1"/>
  <c r="HC33" i="1" s="1"/>
  <c r="D34" i="1"/>
  <c r="I34" i="1"/>
  <c r="K34" i="1"/>
  <c r="AC34" i="1"/>
  <c r="CQ34" i="1" s="1"/>
  <c r="P34" i="1" s="1"/>
  <c r="AE34" i="1"/>
  <c r="AF34" i="1"/>
  <c r="AG34" i="1"/>
  <c r="CU34" i="1" s="1"/>
  <c r="T34" i="1" s="1"/>
  <c r="AH34" i="1"/>
  <c r="AI34" i="1"/>
  <c r="CW34" i="1" s="1"/>
  <c r="V34" i="1" s="1"/>
  <c r="AJ34" i="1"/>
  <c r="CX34" i="1" s="1"/>
  <c r="W34" i="1" s="1"/>
  <c r="CR34" i="1"/>
  <c r="Q34" i="1" s="1"/>
  <c r="CT34" i="1"/>
  <c r="S34" i="1" s="1"/>
  <c r="CV34" i="1"/>
  <c r="U34" i="1" s="1"/>
  <c r="FR34" i="1"/>
  <c r="GL34" i="1"/>
  <c r="GN34" i="1"/>
  <c r="GO34" i="1"/>
  <c r="GV34" i="1"/>
  <c r="HC34" i="1" s="1"/>
  <c r="GX34" i="1" s="1"/>
  <c r="D35" i="1"/>
  <c r="I35" i="1"/>
  <c r="K35" i="1"/>
  <c r="AC35" i="1"/>
  <c r="CQ35" i="1" s="1"/>
  <c r="P35" i="1" s="1"/>
  <c r="AE35" i="1"/>
  <c r="AF35" i="1"/>
  <c r="AG35" i="1"/>
  <c r="CU35" i="1" s="1"/>
  <c r="T35" i="1" s="1"/>
  <c r="AH35" i="1"/>
  <c r="CV35" i="1" s="1"/>
  <c r="U35" i="1" s="1"/>
  <c r="AI35" i="1"/>
  <c r="AJ35" i="1"/>
  <c r="CR35" i="1"/>
  <c r="Q35" i="1" s="1"/>
  <c r="CW35" i="1"/>
  <c r="CX35" i="1"/>
  <c r="W35" i="1" s="1"/>
  <c r="FR35" i="1"/>
  <c r="GL35" i="1"/>
  <c r="GN35" i="1"/>
  <c r="GO35" i="1"/>
  <c r="GV35" i="1"/>
  <c r="HC35" i="1" s="1"/>
  <c r="GX35" i="1" s="1"/>
  <c r="D36" i="1"/>
  <c r="I36" i="1"/>
  <c r="K36" i="1"/>
  <c r="AC36" i="1"/>
  <c r="CQ36" i="1" s="1"/>
  <c r="P36" i="1" s="1"/>
  <c r="AE36" i="1"/>
  <c r="AF36" i="1"/>
  <c r="AG36" i="1"/>
  <c r="CU36" i="1" s="1"/>
  <c r="AH36" i="1"/>
  <c r="CV36" i="1" s="1"/>
  <c r="AI36" i="1"/>
  <c r="CW36" i="1" s="1"/>
  <c r="AJ36" i="1"/>
  <c r="CX36" i="1"/>
  <c r="W36" i="1" s="1"/>
  <c r="FR36" i="1"/>
  <c r="GL36" i="1"/>
  <c r="GN36" i="1"/>
  <c r="GO36" i="1"/>
  <c r="GV36" i="1"/>
  <c r="HC36" i="1" s="1"/>
  <c r="D37" i="1"/>
  <c r="I37" i="1"/>
  <c r="K37" i="1"/>
  <c r="AC37" i="1"/>
  <c r="AE37" i="1"/>
  <c r="AF37" i="1"/>
  <c r="CT37" i="1" s="1"/>
  <c r="AG37" i="1"/>
  <c r="CU37" i="1" s="1"/>
  <c r="T37" i="1" s="1"/>
  <c r="AH37" i="1"/>
  <c r="CV37" i="1" s="1"/>
  <c r="U37" i="1" s="1"/>
  <c r="AI37" i="1"/>
  <c r="CW37" i="1" s="1"/>
  <c r="V37" i="1" s="1"/>
  <c r="AJ37" i="1"/>
  <c r="CX37" i="1" s="1"/>
  <c r="W37" i="1" s="1"/>
  <c r="CQ37" i="1"/>
  <c r="P37" i="1" s="1"/>
  <c r="FR37" i="1"/>
  <c r="GL37" i="1"/>
  <c r="GN37" i="1"/>
  <c r="GO37" i="1"/>
  <c r="GV37" i="1"/>
  <c r="HC37" i="1"/>
  <c r="D38" i="1"/>
  <c r="I38" i="1"/>
  <c r="K38" i="1"/>
  <c r="AC38" i="1"/>
  <c r="AD38" i="1"/>
  <c r="AB38" i="1" s="1"/>
  <c r="AE38" i="1"/>
  <c r="CR38" i="1" s="1"/>
  <c r="Q38" i="1" s="1"/>
  <c r="AF38" i="1"/>
  <c r="CT38" i="1" s="1"/>
  <c r="S38" i="1" s="1"/>
  <c r="AG38" i="1"/>
  <c r="AH38" i="1"/>
  <c r="CV38" i="1" s="1"/>
  <c r="AI38" i="1"/>
  <c r="CW38" i="1" s="1"/>
  <c r="AJ38" i="1"/>
  <c r="CX38" i="1" s="1"/>
  <c r="CQ38" i="1"/>
  <c r="P38" i="1" s="1"/>
  <c r="CS38" i="1"/>
  <c r="R38" i="1" s="1"/>
  <c r="GK38" i="1" s="1"/>
  <c r="CU38" i="1"/>
  <c r="FR38" i="1"/>
  <c r="GL38" i="1"/>
  <c r="GN38" i="1"/>
  <c r="GO38" i="1"/>
  <c r="GV38" i="1"/>
  <c r="HC38" i="1" s="1"/>
  <c r="D39" i="1"/>
  <c r="I39" i="1"/>
  <c r="K39" i="1"/>
  <c r="AC39" i="1"/>
  <c r="AE39" i="1"/>
  <c r="AF39" i="1"/>
  <c r="AG39" i="1"/>
  <c r="CU39" i="1" s="1"/>
  <c r="T39" i="1" s="1"/>
  <c r="AH39" i="1"/>
  <c r="CV39" i="1" s="1"/>
  <c r="U39" i="1" s="1"/>
  <c r="AI39" i="1"/>
  <c r="AJ39" i="1"/>
  <c r="CR39" i="1"/>
  <c r="Q39" i="1" s="1"/>
  <c r="CW39" i="1"/>
  <c r="V39" i="1" s="1"/>
  <c r="CX39" i="1"/>
  <c r="W39" i="1" s="1"/>
  <c r="FR39" i="1"/>
  <c r="GL39" i="1"/>
  <c r="GN39" i="1"/>
  <c r="GO39" i="1"/>
  <c r="GV39" i="1"/>
  <c r="HC39" i="1" s="1"/>
  <c r="GX39" i="1" s="1"/>
  <c r="D40" i="1"/>
  <c r="I40" i="1"/>
  <c r="K40" i="1"/>
  <c r="AC40" i="1"/>
  <c r="CQ40" i="1" s="1"/>
  <c r="P40" i="1" s="1"/>
  <c r="AE40" i="1"/>
  <c r="AF40" i="1"/>
  <c r="AG40" i="1"/>
  <c r="CU40" i="1" s="1"/>
  <c r="T40" i="1" s="1"/>
  <c r="AH40" i="1"/>
  <c r="CV40" i="1" s="1"/>
  <c r="U40" i="1" s="1"/>
  <c r="AI40" i="1"/>
  <c r="CW40" i="1" s="1"/>
  <c r="V40" i="1" s="1"/>
  <c r="AJ40" i="1"/>
  <c r="CX40" i="1"/>
  <c r="W40" i="1" s="1"/>
  <c r="FR40" i="1"/>
  <c r="GL40" i="1"/>
  <c r="GN40" i="1"/>
  <c r="GO40" i="1"/>
  <c r="GV40" i="1"/>
  <c r="HC40" i="1" s="1"/>
  <c r="GX40" i="1" s="1"/>
  <c r="D41" i="1"/>
  <c r="I41" i="1"/>
  <c r="K41" i="1"/>
  <c r="AC41" i="1"/>
  <c r="AE41" i="1"/>
  <c r="AF41" i="1"/>
  <c r="AG41" i="1"/>
  <c r="CU41" i="1" s="1"/>
  <c r="AH41" i="1"/>
  <c r="CV41" i="1" s="1"/>
  <c r="AI41" i="1"/>
  <c r="CW41" i="1" s="1"/>
  <c r="AJ41" i="1"/>
  <c r="CX41" i="1" s="1"/>
  <c r="CQ41" i="1"/>
  <c r="P41" i="1" s="1"/>
  <c r="FR41" i="1"/>
  <c r="GL41" i="1"/>
  <c r="GN41" i="1"/>
  <c r="GO41" i="1"/>
  <c r="GV41" i="1"/>
  <c r="HC41" i="1"/>
  <c r="D42" i="1"/>
  <c r="W42" i="1"/>
  <c r="AC42" i="1"/>
  <c r="AD42" i="1"/>
  <c r="AB42" i="1" s="1"/>
  <c r="AE42" i="1"/>
  <c r="CR42" i="1" s="1"/>
  <c r="Q42" i="1" s="1"/>
  <c r="AF42" i="1"/>
  <c r="CT42" i="1" s="1"/>
  <c r="S42" i="1" s="1"/>
  <c r="AG42" i="1"/>
  <c r="AH42" i="1"/>
  <c r="AI42" i="1"/>
  <c r="AJ42" i="1"/>
  <c r="CX42" i="1" s="1"/>
  <c r="CQ42" i="1"/>
  <c r="P42" i="1" s="1"/>
  <c r="CS42" i="1"/>
  <c r="R42" i="1" s="1"/>
  <c r="GK42" i="1" s="1"/>
  <c r="CU42" i="1"/>
  <c r="T42" i="1" s="1"/>
  <c r="CV42" i="1"/>
  <c r="U42" i="1" s="1"/>
  <c r="CW42" i="1"/>
  <c r="V42" i="1" s="1"/>
  <c r="FR42" i="1"/>
  <c r="GL42" i="1"/>
  <c r="GN42" i="1"/>
  <c r="GO42" i="1"/>
  <c r="GV42" i="1"/>
  <c r="HC42" i="1"/>
  <c r="GX42" i="1" s="1"/>
  <c r="D43" i="1"/>
  <c r="I43" i="1"/>
  <c r="K43" i="1"/>
  <c r="AC43" i="1"/>
  <c r="CQ43" i="1" s="1"/>
  <c r="AD43" i="1"/>
  <c r="AE43" i="1"/>
  <c r="AF43" i="1"/>
  <c r="CT43" i="1" s="1"/>
  <c r="AG43" i="1"/>
  <c r="CU43" i="1" s="1"/>
  <c r="AH43" i="1"/>
  <c r="AI43" i="1"/>
  <c r="CW43" i="1" s="1"/>
  <c r="V43" i="1" s="1"/>
  <c r="AJ43" i="1"/>
  <c r="CV43" i="1"/>
  <c r="U43" i="1" s="1"/>
  <c r="CX43" i="1"/>
  <c r="FR43" i="1"/>
  <c r="GL43" i="1"/>
  <c r="GN43" i="1"/>
  <c r="GO43" i="1"/>
  <c r="GV43" i="1"/>
  <c r="HC43" i="1"/>
  <c r="D44" i="1"/>
  <c r="I44" i="1"/>
  <c r="K44" i="1"/>
  <c r="AC44" i="1"/>
  <c r="AE44" i="1"/>
  <c r="AF44" i="1"/>
  <c r="AG44" i="1"/>
  <c r="CU44" i="1" s="1"/>
  <c r="T44" i="1" s="1"/>
  <c r="AH44" i="1"/>
  <c r="CV44" i="1" s="1"/>
  <c r="AI44" i="1"/>
  <c r="CW44" i="1" s="1"/>
  <c r="AJ44" i="1"/>
  <c r="CX44" i="1" s="1"/>
  <c r="FR44" i="1"/>
  <c r="GL44" i="1"/>
  <c r="GN44" i="1"/>
  <c r="GO44" i="1"/>
  <c r="GV44" i="1"/>
  <c r="HC44" i="1"/>
  <c r="D45" i="1"/>
  <c r="I45" i="1"/>
  <c r="K45" i="1"/>
  <c r="AC45" i="1"/>
  <c r="AD45" i="1"/>
  <c r="AE45" i="1"/>
  <c r="AF45" i="1"/>
  <c r="AG45" i="1"/>
  <c r="CU45" i="1" s="1"/>
  <c r="T45" i="1" s="1"/>
  <c r="AH45" i="1"/>
  <c r="CV45" i="1" s="1"/>
  <c r="AI45" i="1"/>
  <c r="CW45" i="1" s="1"/>
  <c r="V45" i="1" s="1"/>
  <c r="AJ45" i="1"/>
  <c r="CX45" i="1" s="1"/>
  <c r="CQ45" i="1"/>
  <c r="P45" i="1" s="1"/>
  <c r="CR45" i="1"/>
  <c r="Q45" i="1" s="1"/>
  <c r="CS45" i="1"/>
  <c r="FR45" i="1"/>
  <c r="GL45" i="1"/>
  <c r="GN45" i="1"/>
  <c r="GO45" i="1"/>
  <c r="GV45" i="1"/>
  <c r="HC45" i="1" s="1"/>
  <c r="GX45" i="1"/>
  <c r="D46" i="1"/>
  <c r="I46" i="1"/>
  <c r="K46" i="1"/>
  <c r="AC46" i="1"/>
  <c r="AD46" i="1"/>
  <c r="AE46" i="1"/>
  <c r="AF46" i="1"/>
  <c r="AG46" i="1"/>
  <c r="AH46" i="1"/>
  <c r="AI46" i="1"/>
  <c r="AJ46" i="1"/>
  <c r="CX46" i="1" s="1"/>
  <c r="CQ46" i="1"/>
  <c r="CS46" i="1"/>
  <c r="CU46" i="1"/>
  <c r="CV46" i="1"/>
  <c r="CW46" i="1"/>
  <c r="FR46" i="1"/>
  <c r="GL46" i="1"/>
  <c r="GN46" i="1"/>
  <c r="GO46" i="1"/>
  <c r="GV46" i="1"/>
  <c r="HC46" i="1" s="1"/>
  <c r="D47" i="1"/>
  <c r="I47" i="1"/>
  <c r="K47" i="1"/>
  <c r="AC47" i="1"/>
  <c r="CQ47" i="1" s="1"/>
  <c r="P47" i="1" s="1"/>
  <c r="AE47" i="1"/>
  <c r="AF47" i="1"/>
  <c r="CT47" i="1" s="1"/>
  <c r="S47" i="1" s="1"/>
  <c r="AG47" i="1"/>
  <c r="CU47" i="1" s="1"/>
  <c r="T47" i="1" s="1"/>
  <c r="AH47" i="1"/>
  <c r="AI47" i="1"/>
  <c r="CW47" i="1" s="1"/>
  <c r="AJ47" i="1"/>
  <c r="CV47" i="1"/>
  <c r="U47" i="1" s="1"/>
  <c r="CX47" i="1"/>
  <c r="W47" i="1" s="1"/>
  <c r="FR47" i="1"/>
  <c r="GL47" i="1"/>
  <c r="GN47" i="1"/>
  <c r="GO47" i="1"/>
  <c r="GV47" i="1"/>
  <c r="HC47" i="1" s="1"/>
  <c r="GX47" i="1" s="1"/>
  <c r="D48" i="1"/>
  <c r="I48" i="1"/>
  <c r="K48" i="1"/>
  <c r="AC48" i="1"/>
  <c r="AE48" i="1"/>
  <c r="AF48" i="1"/>
  <c r="CT48" i="1" s="1"/>
  <c r="AG48" i="1"/>
  <c r="CU48" i="1" s="1"/>
  <c r="AH48" i="1"/>
  <c r="CV48" i="1" s="1"/>
  <c r="AI48" i="1"/>
  <c r="CW48" i="1" s="1"/>
  <c r="AJ48" i="1"/>
  <c r="CX48" i="1" s="1"/>
  <c r="W48" i="1" s="1"/>
  <c r="FR48" i="1"/>
  <c r="GL48" i="1"/>
  <c r="GN48" i="1"/>
  <c r="GO48" i="1"/>
  <c r="GV48" i="1"/>
  <c r="HC48" i="1" s="1"/>
  <c r="D49" i="1"/>
  <c r="I49" i="1"/>
  <c r="K49" i="1"/>
  <c r="T49" i="1"/>
  <c r="V49" i="1"/>
  <c r="AC49" i="1"/>
  <c r="CQ49" i="1" s="1"/>
  <c r="P49" i="1" s="1"/>
  <c r="AE49" i="1"/>
  <c r="AD49" i="1" s="1"/>
  <c r="AF49" i="1"/>
  <c r="AG49" i="1"/>
  <c r="CU49" i="1" s="1"/>
  <c r="AH49" i="1"/>
  <c r="CV49" i="1" s="1"/>
  <c r="U49" i="1" s="1"/>
  <c r="AI49" i="1"/>
  <c r="CW49" i="1" s="1"/>
  <c r="AJ49" i="1"/>
  <c r="CX49" i="1" s="1"/>
  <c r="W49" i="1" s="1"/>
  <c r="CR49" i="1"/>
  <c r="Q49" i="1" s="1"/>
  <c r="CS49" i="1"/>
  <c r="FR49" i="1"/>
  <c r="GL49" i="1"/>
  <c r="GN49" i="1"/>
  <c r="GO49" i="1"/>
  <c r="GV49" i="1"/>
  <c r="HC49" i="1" s="1"/>
  <c r="GX49" i="1" s="1"/>
  <c r="D50" i="1"/>
  <c r="I50" i="1"/>
  <c r="K50" i="1"/>
  <c r="AC50" i="1"/>
  <c r="AE50" i="1"/>
  <c r="AF50" i="1"/>
  <c r="AG50" i="1"/>
  <c r="AH50" i="1"/>
  <c r="AI50" i="1"/>
  <c r="AJ50" i="1"/>
  <c r="CX50" i="1" s="1"/>
  <c r="W50" i="1" s="1"/>
  <c r="CT50" i="1"/>
  <c r="CU50" i="1"/>
  <c r="CV50" i="1"/>
  <c r="CW50" i="1"/>
  <c r="V50" i="1" s="1"/>
  <c r="FR50" i="1"/>
  <c r="GL50" i="1"/>
  <c r="GN50" i="1"/>
  <c r="GO50" i="1"/>
  <c r="GV50" i="1"/>
  <c r="HC50" i="1" s="1"/>
  <c r="GX50" i="1" s="1"/>
  <c r="D51" i="1"/>
  <c r="I51" i="1"/>
  <c r="K51" i="1"/>
  <c r="AC51" i="1"/>
  <c r="CQ51" i="1" s="1"/>
  <c r="P51" i="1" s="1"/>
  <c r="AE51" i="1"/>
  <c r="AD51" i="1" s="1"/>
  <c r="AF51" i="1"/>
  <c r="CT51" i="1" s="1"/>
  <c r="AG51" i="1"/>
  <c r="AH51" i="1"/>
  <c r="CV51" i="1" s="1"/>
  <c r="AI51" i="1"/>
  <c r="AJ51" i="1"/>
  <c r="CX51" i="1" s="1"/>
  <c r="CU51" i="1"/>
  <c r="CW51" i="1"/>
  <c r="FR51" i="1"/>
  <c r="GL51" i="1"/>
  <c r="GN51" i="1"/>
  <c r="GO51" i="1"/>
  <c r="GV51" i="1"/>
  <c r="HC51" i="1" s="1"/>
  <c r="D52" i="1"/>
  <c r="AC52" i="1"/>
  <c r="CQ52" i="1" s="1"/>
  <c r="P52" i="1" s="1"/>
  <c r="AE52" i="1"/>
  <c r="AF52" i="1"/>
  <c r="CT52" i="1" s="1"/>
  <c r="S52" i="1" s="1"/>
  <c r="AG52" i="1"/>
  <c r="CU52" i="1" s="1"/>
  <c r="T52" i="1" s="1"/>
  <c r="AH52" i="1"/>
  <c r="CV52" i="1" s="1"/>
  <c r="U52" i="1" s="1"/>
  <c r="AI52" i="1"/>
  <c r="CW52" i="1" s="1"/>
  <c r="V52" i="1" s="1"/>
  <c r="AJ52" i="1"/>
  <c r="CX52" i="1" s="1"/>
  <c r="W52" i="1" s="1"/>
  <c r="FR52" i="1"/>
  <c r="GL52" i="1"/>
  <c r="GN52" i="1"/>
  <c r="GO52" i="1"/>
  <c r="GV52" i="1"/>
  <c r="HC52" i="1" s="1"/>
  <c r="GX52" i="1" s="1"/>
  <c r="B54" i="1"/>
  <c r="B30" i="1" s="1"/>
  <c r="C54" i="1"/>
  <c r="C30" i="1" s="1"/>
  <c r="D54" i="1"/>
  <c r="D30" i="1" s="1"/>
  <c r="F54" i="1"/>
  <c r="F30" i="1" s="1"/>
  <c r="G54" i="1"/>
  <c r="BX54" i="1"/>
  <c r="CK54" i="1"/>
  <c r="CK30" i="1" s="1"/>
  <c r="CL54" i="1"/>
  <c r="CL30" i="1" s="1"/>
  <c r="CM54" i="1"/>
  <c r="CM30" i="1" s="1"/>
  <c r="D84" i="1"/>
  <c r="E86" i="1"/>
  <c r="Z86" i="1"/>
  <c r="AA86" i="1"/>
  <c r="AM86" i="1"/>
  <c r="AN86" i="1"/>
  <c r="BE86" i="1"/>
  <c r="BF86" i="1"/>
  <c r="BG86" i="1"/>
  <c r="BH86" i="1"/>
  <c r="BI86" i="1"/>
  <c r="BJ86" i="1"/>
  <c r="BK86" i="1"/>
  <c r="BL86" i="1"/>
  <c r="BM86" i="1"/>
  <c r="BN86" i="1"/>
  <c r="BO86" i="1"/>
  <c r="BP86" i="1"/>
  <c r="BQ86" i="1"/>
  <c r="BR86" i="1"/>
  <c r="BS86" i="1"/>
  <c r="BT86" i="1"/>
  <c r="BU86" i="1"/>
  <c r="BV86" i="1"/>
  <c r="BW86" i="1"/>
  <c r="BX86" i="1"/>
  <c r="CN86" i="1"/>
  <c r="CO86" i="1"/>
  <c r="CP86" i="1"/>
  <c r="CQ86" i="1"/>
  <c r="CR86" i="1"/>
  <c r="CS86" i="1"/>
  <c r="CT86" i="1"/>
  <c r="CU86" i="1"/>
  <c r="CV86" i="1"/>
  <c r="CW86" i="1"/>
  <c r="CX86" i="1"/>
  <c r="CY86" i="1"/>
  <c r="CZ86" i="1"/>
  <c r="DA86" i="1"/>
  <c r="DB86" i="1"/>
  <c r="DC86" i="1"/>
  <c r="DD86" i="1"/>
  <c r="DE86" i="1"/>
  <c r="DF86" i="1"/>
  <c r="DG86" i="1"/>
  <c r="DH86" i="1"/>
  <c r="DI86" i="1"/>
  <c r="DJ86" i="1"/>
  <c r="DK86" i="1"/>
  <c r="DL86" i="1"/>
  <c r="DM86" i="1"/>
  <c r="DN86" i="1"/>
  <c r="DO86" i="1"/>
  <c r="DP86" i="1"/>
  <c r="DQ86" i="1"/>
  <c r="DR86" i="1"/>
  <c r="DS86" i="1"/>
  <c r="DT86" i="1"/>
  <c r="DU86" i="1"/>
  <c r="DV86" i="1"/>
  <c r="DW86" i="1"/>
  <c r="DX86" i="1"/>
  <c r="DY86" i="1"/>
  <c r="DZ86" i="1"/>
  <c r="EA86" i="1"/>
  <c r="EB86" i="1"/>
  <c r="EC86" i="1"/>
  <c r="ED86" i="1"/>
  <c r="EE86" i="1"/>
  <c r="EF86" i="1"/>
  <c r="EG86" i="1"/>
  <c r="EH86" i="1"/>
  <c r="EI86" i="1"/>
  <c r="EJ86" i="1"/>
  <c r="EK86" i="1"/>
  <c r="EL86" i="1"/>
  <c r="EM86" i="1"/>
  <c r="EN86" i="1"/>
  <c r="EO86" i="1"/>
  <c r="EP86" i="1"/>
  <c r="EQ86" i="1"/>
  <c r="ER86" i="1"/>
  <c r="ES86" i="1"/>
  <c r="ET86" i="1"/>
  <c r="EU86" i="1"/>
  <c r="EV86" i="1"/>
  <c r="EW86" i="1"/>
  <c r="EX86" i="1"/>
  <c r="EY86" i="1"/>
  <c r="EZ86" i="1"/>
  <c r="FA86" i="1"/>
  <c r="FB86" i="1"/>
  <c r="FC86" i="1"/>
  <c r="FD86" i="1"/>
  <c r="FE86" i="1"/>
  <c r="FF86" i="1"/>
  <c r="FG86" i="1"/>
  <c r="FH86" i="1"/>
  <c r="FI86" i="1"/>
  <c r="FJ86" i="1"/>
  <c r="FK86" i="1"/>
  <c r="FL86" i="1"/>
  <c r="FM86" i="1"/>
  <c r="FN86" i="1"/>
  <c r="FO86" i="1"/>
  <c r="FP86" i="1"/>
  <c r="FQ86" i="1"/>
  <c r="FR86" i="1"/>
  <c r="FS86" i="1"/>
  <c r="FT86" i="1"/>
  <c r="FU86" i="1"/>
  <c r="FV86" i="1"/>
  <c r="FW86" i="1"/>
  <c r="FX86" i="1"/>
  <c r="FY86" i="1"/>
  <c r="FZ86" i="1"/>
  <c r="GA86" i="1"/>
  <c r="GB86" i="1"/>
  <c r="GC86" i="1"/>
  <c r="GD86" i="1"/>
  <c r="GE86" i="1"/>
  <c r="GF86" i="1"/>
  <c r="GG86" i="1"/>
  <c r="GH86" i="1"/>
  <c r="GI86" i="1"/>
  <c r="GJ86" i="1"/>
  <c r="GK86" i="1"/>
  <c r="GL86" i="1"/>
  <c r="GM86" i="1"/>
  <c r="GN86" i="1"/>
  <c r="GO86" i="1"/>
  <c r="GP86" i="1"/>
  <c r="GQ86" i="1"/>
  <c r="GR86" i="1"/>
  <c r="GS86" i="1"/>
  <c r="GT86" i="1"/>
  <c r="GU86" i="1"/>
  <c r="GV86" i="1"/>
  <c r="GW86" i="1"/>
  <c r="GX86" i="1"/>
  <c r="D88" i="1"/>
  <c r="I88" i="1"/>
  <c r="T88" i="1" s="1"/>
  <c r="K88" i="1"/>
  <c r="AC88" i="1"/>
  <c r="AD88" i="1"/>
  <c r="AE88" i="1"/>
  <c r="AF88" i="1"/>
  <c r="AG88" i="1"/>
  <c r="AH88" i="1"/>
  <c r="AI88" i="1"/>
  <c r="CW88" i="1" s="1"/>
  <c r="V88" i="1" s="1"/>
  <c r="AJ88" i="1"/>
  <c r="CX88" i="1" s="1"/>
  <c r="CQ88" i="1"/>
  <c r="P88" i="1" s="1"/>
  <c r="CR88" i="1"/>
  <c r="CS88" i="1"/>
  <c r="CT88" i="1"/>
  <c r="CU88" i="1"/>
  <c r="CV88" i="1"/>
  <c r="U88" i="1" s="1"/>
  <c r="FR88" i="1"/>
  <c r="GL88" i="1"/>
  <c r="GN88" i="1"/>
  <c r="GO88" i="1"/>
  <c r="GV88" i="1"/>
  <c r="HC88" i="1" s="1"/>
  <c r="D89" i="1"/>
  <c r="I89" i="1"/>
  <c r="K89" i="1"/>
  <c r="P89" i="1"/>
  <c r="AC89" i="1"/>
  <c r="CQ89" i="1" s="1"/>
  <c r="AE89" i="1"/>
  <c r="AF89" i="1"/>
  <c r="AG89" i="1"/>
  <c r="CU89" i="1" s="1"/>
  <c r="AH89" i="1"/>
  <c r="CV89" i="1" s="1"/>
  <c r="AI89" i="1"/>
  <c r="AJ89" i="1"/>
  <c r="CX89" i="1" s="1"/>
  <c r="CT89" i="1"/>
  <c r="CW89" i="1"/>
  <c r="FR89" i="1"/>
  <c r="BY92" i="1" s="1"/>
  <c r="CI92" i="1" s="1"/>
  <c r="GL89" i="1"/>
  <c r="BZ92" i="1" s="1"/>
  <c r="GN89" i="1"/>
  <c r="CB92" i="1" s="1"/>
  <c r="GO89" i="1"/>
  <c r="CC92" i="1" s="1"/>
  <c r="GV89" i="1"/>
  <c r="HC89" i="1" s="1"/>
  <c r="GX89" i="1" s="1"/>
  <c r="CJ92" i="1" s="1"/>
  <c r="D90" i="1"/>
  <c r="I90" i="1"/>
  <c r="K90" i="1"/>
  <c r="AC90" i="1"/>
  <c r="AE90" i="1"/>
  <c r="AF90" i="1"/>
  <c r="CT90" i="1" s="1"/>
  <c r="S90" i="1" s="1"/>
  <c r="AG90" i="1"/>
  <c r="CU90" i="1" s="1"/>
  <c r="T90" i="1" s="1"/>
  <c r="AH90" i="1"/>
  <c r="CV90" i="1" s="1"/>
  <c r="U90" i="1" s="1"/>
  <c r="AI90" i="1"/>
  <c r="CW90" i="1" s="1"/>
  <c r="V90" i="1" s="1"/>
  <c r="AJ90" i="1"/>
  <c r="CX90" i="1" s="1"/>
  <c r="FR90" i="1"/>
  <c r="GL90" i="1"/>
  <c r="GN90" i="1"/>
  <c r="GO90" i="1"/>
  <c r="GV90" i="1"/>
  <c r="HC90" i="1" s="1"/>
  <c r="GX90" i="1" s="1"/>
  <c r="B92" i="1"/>
  <c r="B86" i="1" s="1"/>
  <c r="C92" i="1"/>
  <c r="C86" i="1" s="1"/>
  <c r="D92" i="1"/>
  <c r="D86" i="1" s="1"/>
  <c r="F92" i="1"/>
  <c r="F86" i="1" s="1"/>
  <c r="G92" i="1"/>
  <c r="AO92" i="1"/>
  <c r="F96" i="1" s="1"/>
  <c r="BX92" i="1"/>
  <c r="CK92" i="1"/>
  <c r="CL92" i="1"/>
  <c r="CM92" i="1"/>
  <c r="CM86" i="1" s="1"/>
  <c r="D122" i="1"/>
  <c r="E124" i="1"/>
  <c r="Z124" i="1"/>
  <c r="AA124" i="1"/>
  <c r="AM124" i="1"/>
  <c r="AN124" i="1"/>
  <c r="BE124" i="1"/>
  <c r="BF124" i="1"/>
  <c r="BG124" i="1"/>
  <c r="BH124" i="1"/>
  <c r="BI124" i="1"/>
  <c r="BJ124" i="1"/>
  <c r="BK124" i="1"/>
  <c r="BL124" i="1"/>
  <c r="BM124" i="1"/>
  <c r="BN124" i="1"/>
  <c r="BO124" i="1"/>
  <c r="BP124" i="1"/>
  <c r="BQ124" i="1"/>
  <c r="BR124" i="1"/>
  <c r="BS124" i="1"/>
  <c r="BT124" i="1"/>
  <c r="BU124" i="1"/>
  <c r="BV124" i="1"/>
  <c r="BW124" i="1"/>
  <c r="CK124" i="1"/>
  <c r="CN124" i="1"/>
  <c r="CO124" i="1"/>
  <c r="CP124" i="1"/>
  <c r="CQ124" i="1"/>
  <c r="CR124" i="1"/>
  <c r="CS124" i="1"/>
  <c r="CT124" i="1"/>
  <c r="CU124" i="1"/>
  <c r="CV124" i="1"/>
  <c r="CW124" i="1"/>
  <c r="CX124" i="1"/>
  <c r="CY124" i="1"/>
  <c r="CZ124" i="1"/>
  <c r="DA124" i="1"/>
  <c r="DB124" i="1"/>
  <c r="DC124" i="1"/>
  <c r="DD124" i="1"/>
  <c r="DE124" i="1"/>
  <c r="DF124" i="1"/>
  <c r="DG124" i="1"/>
  <c r="DH124" i="1"/>
  <c r="DI124" i="1"/>
  <c r="DJ124" i="1"/>
  <c r="DK124" i="1"/>
  <c r="DL124" i="1"/>
  <c r="DM124" i="1"/>
  <c r="DN124" i="1"/>
  <c r="DO124" i="1"/>
  <c r="DP124" i="1"/>
  <c r="DQ124" i="1"/>
  <c r="DR124" i="1"/>
  <c r="DS124" i="1"/>
  <c r="DT124" i="1"/>
  <c r="DU124" i="1"/>
  <c r="DV124" i="1"/>
  <c r="DW124" i="1"/>
  <c r="DX124" i="1"/>
  <c r="DY124" i="1"/>
  <c r="DZ124" i="1"/>
  <c r="EA124" i="1"/>
  <c r="EB124" i="1"/>
  <c r="EC124" i="1"/>
  <c r="ED124" i="1"/>
  <c r="EE124" i="1"/>
  <c r="EF124" i="1"/>
  <c r="EG124" i="1"/>
  <c r="EH124" i="1"/>
  <c r="EI124" i="1"/>
  <c r="EJ124" i="1"/>
  <c r="EK124" i="1"/>
  <c r="EL124" i="1"/>
  <c r="EM124" i="1"/>
  <c r="EN124" i="1"/>
  <c r="EO124" i="1"/>
  <c r="EP124" i="1"/>
  <c r="EQ124" i="1"/>
  <c r="ER124" i="1"/>
  <c r="ES124" i="1"/>
  <c r="ET124" i="1"/>
  <c r="EU124" i="1"/>
  <c r="EV124" i="1"/>
  <c r="EW124" i="1"/>
  <c r="EX124" i="1"/>
  <c r="EY124" i="1"/>
  <c r="EZ124" i="1"/>
  <c r="FA124" i="1"/>
  <c r="FB124" i="1"/>
  <c r="FC124" i="1"/>
  <c r="FD124" i="1"/>
  <c r="FE124" i="1"/>
  <c r="FF124" i="1"/>
  <c r="FG124" i="1"/>
  <c r="FH124" i="1"/>
  <c r="FI124" i="1"/>
  <c r="FJ124" i="1"/>
  <c r="FK124" i="1"/>
  <c r="FL124" i="1"/>
  <c r="FM124" i="1"/>
  <c r="FN124" i="1"/>
  <c r="FO124" i="1"/>
  <c r="FP124" i="1"/>
  <c r="FQ124" i="1"/>
  <c r="FR124" i="1"/>
  <c r="FS124" i="1"/>
  <c r="FT124" i="1"/>
  <c r="FU124" i="1"/>
  <c r="FV124" i="1"/>
  <c r="FW124" i="1"/>
  <c r="FX124" i="1"/>
  <c r="FY124" i="1"/>
  <c r="FZ124" i="1"/>
  <c r="GA124" i="1"/>
  <c r="GB124" i="1"/>
  <c r="GC124" i="1"/>
  <c r="GD124" i="1"/>
  <c r="GE124" i="1"/>
  <c r="GF124" i="1"/>
  <c r="GG124" i="1"/>
  <c r="GH124" i="1"/>
  <c r="GI124" i="1"/>
  <c r="GJ124" i="1"/>
  <c r="GK124" i="1"/>
  <c r="GL124" i="1"/>
  <c r="GM124" i="1"/>
  <c r="GN124" i="1"/>
  <c r="GO124" i="1"/>
  <c r="GP124" i="1"/>
  <c r="GQ124" i="1"/>
  <c r="GR124" i="1"/>
  <c r="GS124" i="1"/>
  <c r="GT124" i="1"/>
  <c r="GU124" i="1"/>
  <c r="GV124" i="1"/>
  <c r="GW124" i="1"/>
  <c r="GX124" i="1"/>
  <c r="D126" i="1"/>
  <c r="I126" i="1"/>
  <c r="K126" i="1"/>
  <c r="P126" i="1"/>
  <c r="AC126" i="1"/>
  <c r="CQ126" i="1" s="1"/>
  <c r="AE126" i="1"/>
  <c r="AF126" i="1"/>
  <c r="CT126" i="1" s="1"/>
  <c r="AG126" i="1"/>
  <c r="CU126" i="1" s="1"/>
  <c r="AH126" i="1"/>
  <c r="CV126" i="1" s="1"/>
  <c r="AI126" i="1"/>
  <c r="CW126" i="1" s="1"/>
  <c r="AJ126" i="1"/>
  <c r="CX126" i="1" s="1"/>
  <c r="W126" i="1" s="1"/>
  <c r="FR126" i="1"/>
  <c r="GL126" i="1"/>
  <c r="GN126" i="1"/>
  <c r="GO126" i="1"/>
  <c r="GV126" i="1"/>
  <c r="HC126" i="1" s="1"/>
  <c r="D127" i="1"/>
  <c r="I127" i="1"/>
  <c r="K127" i="1"/>
  <c r="AC127" i="1"/>
  <c r="CQ127" i="1" s="1"/>
  <c r="AD127" i="1"/>
  <c r="AE127" i="1"/>
  <c r="CS127" i="1" s="1"/>
  <c r="AF127" i="1"/>
  <c r="AG127" i="1"/>
  <c r="CU127" i="1" s="1"/>
  <c r="T127" i="1" s="1"/>
  <c r="AH127" i="1"/>
  <c r="CV127" i="1" s="1"/>
  <c r="U127" i="1" s="1"/>
  <c r="AI127" i="1"/>
  <c r="CW127" i="1" s="1"/>
  <c r="V127" i="1" s="1"/>
  <c r="AI136" i="1" s="1"/>
  <c r="AJ127" i="1"/>
  <c r="CR127" i="1"/>
  <c r="Q127" i="1" s="1"/>
  <c r="CX127" i="1"/>
  <c r="W127" i="1" s="1"/>
  <c r="FR127" i="1"/>
  <c r="GL127" i="1"/>
  <c r="GN127" i="1"/>
  <c r="CB136" i="1" s="1"/>
  <c r="GO127" i="1"/>
  <c r="GV127" i="1"/>
  <c r="HC127" i="1" s="1"/>
  <c r="GX127" i="1" s="1"/>
  <c r="D128" i="1"/>
  <c r="I128" i="1"/>
  <c r="K128" i="1"/>
  <c r="AC128" i="1"/>
  <c r="AE128" i="1"/>
  <c r="AD128" i="1" s="1"/>
  <c r="AF128" i="1"/>
  <c r="CT128" i="1" s="1"/>
  <c r="AG128" i="1"/>
  <c r="CU128" i="1" s="1"/>
  <c r="AH128" i="1"/>
  <c r="CV128" i="1" s="1"/>
  <c r="AI128" i="1"/>
  <c r="CW128" i="1" s="1"/>
  <c r="AJ128" i="1"/>
  <c r="CX128" i="1" s="1"/>
  <c r="FR128" i="1"/>
  <c r="GL128" i="1"/>
  <c r="GN128" i="1"/>
  <c r="GO128" i="1"/>
  <c r="GV128" i="1"/>
  <c r="HC128" i="1" s="1"/>
  <c r="GX128" i="1" s="1"/>
  <c r="D129" i="1"/>
  <c r="I129" i="1"/>
  <c r="K129" i="1"/>
  <c r="V129" i="1"/>
  <c r="AC129" i="1"/>
  <c r="CQ129" i="1" s="1"/>
  <c r="P129" i="1" s="1"/>
  <c r="AE129" i="1"/>
  <c r="AD129" i="1" s="1"/>
  <c r="AF129" i="1"/>
  <c r="AG129" i="1"/>
  <c r="CU129" i="1" s="1"/>
  <c r="AH129" i="1"/>
  <c r="CV129" i="1" s="1"/>
  <c r="U129" i="1" s="1"/>
  <c r="AI129" i="1"/>
  <c r="CW129" i="1" s="1"/>
  <c r="AJ129" i="1"/>
  <c r="CX129" i="1"/>
  <c r="W129" i="1" s="1"/>
  <c r="FR129" i="1"/>
  <c r="GL129" i="1"/>
  <c r="BZ136" i="1" s="1"/>
  <c r="GN129" i="1"/>
  <c r="GO129" i="1"/>
  <c r="GV129" i="1"/>
  <c r="HC129" i="1"/>
  <c r="D130" i="1"/>
  <c r="I130" i="1"/>
  <c r="K130" i="1"/>
  <c r="AC130" i="1"/>
  <c r="AE130" i="1"/>
  <c r="AD130" i="1" s="1"/>
  <c r="AF130" i="1"/>
  <c r="CT130" i="1" s="1"/>
  <c r="AG130" i="1"/>
  <c r="CU130" i="1" s="1"/>
  <c r="AH130" i="1"/>
  <c r="CV130" i="1" s="1"/>
  <c r="U130" i="1" s="1"/>
  <c r="AI130" i="1"/>
  <c r="CW130" i="1" s="1"/>
  <c r="AJ130" i="1"/>
  <c r="CX130" i="1" s="1"/>
  <c r="FR130" i="1"/>
  <c r="GL130" i="1"/>
  <c r="GN130" i="1"/>
  <c r="GO130" i="1"/>
  <c r="GV130" i="1"/>
  <c r="HC130" i="1"/>
  <c r="GX130" i="1" s="1"/>
  <c r="D131" i="1"/>
  <c r="I131" i="1"/>
  <c r="K131" i="1"/>
  <c r="AC131" i="1"/>
  <c r="CQ131" i="1" s="1"/>
  <c r="P131" i="1" s="1"/>
  <c r="AD131" i="1"/>
  <c r="AE131" i="1"/>
  <c r="AF131" i="1"/>
  <c r="AG131" i="1"/>
  <c r="CU131" i="1" s="1"/>
  <c r="T131" i="1" s="1"/>
  <c r="AH131" i="1"/>
  <c r="CV131" i="1" s="1"/>
  <c r="U131" i="1" s="1"/>
  <c r="AI131" i="1"/>
  <c r="CW131" i="1" s="1"/>
  <c r="V131" i="1" s="1"/>
  <c r="AJ131" i="1"/>
  <c r="CX131" i="1" s="1"/>
  <c r="W131" i="1" s="1"/>
  <c r="CT131" i="1"/>
  <c r="S131" i="1" s="1"/>
  <c r="CY131" i="1"/>
  <c r="X131" i="1" s="1"/>
  <c r="FR131" i="1"/>
  <c r="GL131" i="1"/>
  <c r="GN131" i="1"/>
  <c r="GO131" i="1"/>
  <c r="CC136" i="1" s="1"/>
  <c r="CC124" i="1" s="1"/>
  <c r="GV131" i="1"/>
  <c r="HC131" i="1"/>
  <c r="GX131" i="1" s="1"/>
  <c r="D132" i="1"/>
  <c r="I132" i="1"/>
  <c r="K132" i="1"/>
  <c r="AC132" i="1"/>
  <c r="CQ132" i="1" s="1"/>
  <c r="P132" i="1" s="1"/>
  <c r="AE132" i="1"/>
  <c r="AF132" i="1"/>
  <c r="CT132" i="1" s="1"/>
  <c r="AG132" i="1"/>
  <c r="CU132" i="1" s="1"/>
  <c r="AH132" i="1"/>
  <c r="CV132" i="1" s="1"/>
  <c r="AI132" i="1"/>
  <c r="CW132" i="1" s="1"/>
  <c r="AJ132" i="1"/>
  <c r="CX132" i="1" s="1"/>
  <c r="W132" i="1" s="1"/>
  <c r="FR132" i="1"/>
  <c r="GL132" i="1"/>
  <c r="GN132" i="1"/>
  <c r="GO132" i="1"/>
  <c r="GV132" i="1"/>
  <c r="HC132" i="1" s="1"/>
  <c r="GX132" i="1" s="1"/>
  <c r="D133" i="1"/>
  <c r="V133" i="1"/>
  <c r="W133" i="1"/>
  <c r="AC133" i="1"/>
  <c r="AE133" i="1"/>
  <c r="AF133" i="1"/>
  <c r="CT133" i="1" s="1"/>
  <c r="S133" i="1" s="1"/>
  <c r="AG133" i="1"/>
  <c r="CU133" i="1" s="1"/>
  <c r="T133" i="1" s="1"/>
  <c r="AH133" i="1"/>
  <c r="CV133" i="1" s="1"/>
  <c r="U133" i="1" s="1"/>
  <c r="AI133" i="1"/>
  <c r="CW133" i="1" s="1"/>
  <c r="AJ133" i="1"/>
  <c r="CX133" i="1"/>
  <c r="FR133" i="1"/>
  <c r="GL133" i="1"/>
  <c r="GN133" i="1"/>
  <c r="GO133" i="1"/>
  <c r="GV133" i="1"/>
  <c r="HC133" i="1"/>
  <c r="GX133" i="1" s="1"/>
  <c r="D134" i="1"/>
  <c r="AC134" i="1"/>
  <c r="AD134" i="1"/>
  <c r="AE134" i="1"/>
  <c r="AF134" i="1"/>
  <c r="AB134" i="1" s="1"/>
  <c r="AG134" i="1"/>
  <c r="CU134" i="1" s="1"/>
  <c r="T134" i="1" s="1"/>
  <c r="AH134" i="1"/>
  <c r="CV134" i="1" s="1"/>
  <c r="U134" i="1" s="1"/>
  <c r="AI134" i="1"/>
  <c r="CW134" i="1" s="1"/>
  <c r="V134" i="1" s="1"/>
  <c r="AJ134" i="1"/>
  <c r="CX134" i="1" s="1"/>
  <c r="W134" i="1" s="1"/>
  <c r="CQ134" i="1"/>
  <c r="P134" i="1" s="1"/>
  <c r="CR134" i="1"/>
  <c r="Q134" i="1" s="1"/>
  <c r="CS134" i="1"/>
  <c r="R134" i="1" s="1"/>
  <c r="CT134" i="1"/>
  <c r="S134" i="1" s="1"/>
  <c r="FR134" i="1"/>
  <c r="GK134" i="1"/>
  <c r="GL134" i="1"/>
  <c r="GN134" i="1"/>
  <c r="GO134" i="1"/>
  <c r="GV134" i="1"/>
  <c r="HC134" i="1" s="1"/>
  <c r="GX134" i="1" s="1"/>
  <c r="B136" i="1"/>
  <c r="B124" i="1" s="1"/>
  <c r="C136" i="1"/>
  <c r="C124" i="1" s="1"/>
  <c r="D136" i="1"/>
  <c r="D124" i="1" s="1"/>
  <c r="F136" i="1"/>
  <c r="F124" i="1" s="1"/>
  <c r="G136" i="1"/>
  <c r="AT136" i="1"/>
  <c r="AT124" i="1" s="1"/>
  <c r="BB136" i="1"/>
  <c r="BB124" i="1" s="1"/>
  <c r="BX136" i="1"/>
  <c r="CK136" i="1"/>
  <c r="CL136" i="1"/>
  <c r="BC136" i="1" s="1"/>
  <c r="F152" i="1" s="1"/>
  <c r="CM136" i="1"/>
  <c r="BD136" i="1" s="1"/>
  <c r="F161" i="1" s="1"/>
  <c r="D166" i="1"/>
  <c r="E168" i="1"/>
  <c r="Z168" i="1"/>
  <c r="AA168" i="1"/>
  <c r="AM168" i="1"/>
  <c r="AN168" i="1"/>
  <c r="BE168" i="1"/>
  <c r="BF168" i="1"/>
  <c r="BG168" i="1"/>
  <c r="BH168" i="1"/>
  <c r="BI168" i="1"/>
  <c r="BJ168" i="1"/>
  <c r="BK168" i="1"/>
  <c r="BL168" i="1"/>
  <c r="BM168" i="1"/>
  <c r="BN168" i="1"/>
  <c r="BO168" i="1"/>
  <c r="BP168" i="1"/>
  <c r="BQ168" i="1"/>
  <c r="BR168" i="1"/>
  <c r="BS168" i="1"/>
  <c r="BT168" i="1"/>
  <c r="BU168" i="1"/>
  <c r="BV168" i="1"/>
  <c r="BW168" i="1"/>
  <c r="CN168" i="1"/>
  <c r="CO168" i="1"/>
  <c r="CP168" i="1"/>
  <c r="CQ168" i="1"/>
  <c r="CR168" i="1"/>
  <c r="CS168" i="1"/>
  <c r="CT168" i="1"/>
  <c r="CU168" i="1"/>
  <c r="CV168" i="1"/>
  <c r="CW168" i="1"/>
  <c r="CX168" i="1"/>
  <c r="CY168" i="1"/>
  <c r="CZ168" i="1"/>
  <c r="DA168" i="1"/>
  <c r="DB168" i="1"/>
  <c r="DC168" i="1"/>
  <c r="DD168" i="1"/>
  <c r="DE168" i="1"/>
  <c r="DF168" i="1"/>
  <c r="DG168" i="1"/>
  <c r="DH168" i="1"/>
  <c r="DI168" i="1"/>
  <c r="DJ168" i="1"/>
  <c r="DK168" i="1"/>
  <c r="DL168" i="1"/>
  <c r="DM168" i="1"/>
  <c r="DN168" i="1"/>
  <c r="DO168" i="1"/>
  <c r="DP168" i="1"/>
  <c r="DQ168" i="1"/>
  <c r="DR168" i="1"/>
  <c r="DS168" i="1"/>
  <c r="DT168" i="1"/>
  <c r="DU168" i="1"/>
  <c r="DV168" i="1"/>
  <c r="DW168" i="1"/>
  <c r="DX168" i="1"/>
  <c r="DY168" i="1"/>
  <c r="DZ168" i="1"/>
  <c r="EA168" i="1"/>
  <c r="EB168" i="1"/>
  <c r="EC168" i="1"/>
  <c r="ED168" i="1"/>
  <c r="EE168" i="1"/>
  <c r="EF168" i="1"/>
  <c r="EG168" i="1"/>
  <c r="EH168" i="1"/>
  <c r="EI168" i="1"/>
  <c r="EJ168" i="1"/>
  <c r="EK168" i="1"/>
  <c r="EL168" i="1"/>
  <c r="EM168" i="1"/>
  <c r="EN168" i="1"/>
  <c r="EO168" i="1"/>
  <c r="EP168" i="1"/>
  <c r="EQ168" i="1"/>
  <c r="ER168" i="1"/>
  <c r="ES168" i="1"/>
  <c r="ET168" i="1"/>
  <c r="EU168" i="1"/>
  <c r="EV168" i="1"/>
  <c r="EW168" i="1"/>
  <c r="EX168" i="1"/>
  <c r="EY168" i="1"/>
  <c r="EZ168" i="1"/>
  <c r="FA168" i="1"/>
  <c r="FB168" i="1"/>
  <c r="FC168" i="1"/>
  <c r="FD168" i="1"/>
  <c r="FE168" i="1"/>
  <c r="FF168" i="1"/>
  <c r="FG168" i="1"/>
  <c r="FH168" i="1"/>
  <c r="FI168" i="1"/>
  <c r="FJ168" i="1"/>
  <c r="FK168" i="1"/>
  <c r="FL168" i="1"/>
  <c r="FM168" i="1"/>
  <c r="FN168" i="1"/>
  <c r="FO168" i="1"/>
  <c r="FP168" i="1"/>
  <c r="FQ168" i="1"/>
  <c r="FR168" i="1"/>
  <c r="FS168" i="1"/>
  <c r="FT168" i="1"/>
  <c r="FU168" i="1"/>
  <c r="FV168" i="1"/>
  <c r="FW168" i="1"/>
  <c r="FX168" i="1"/>
  <c r="FY168" i="1"/>
  <c r="FZ168" i="1"/>
  <c r="GA168" i="1"/>
  <c r="GB168" i="1"/>
  <c r="GC168" i="1"/>
  <c r="GD168" i="1"/>
  <c r="GE168" i="1"/>
  <c r="GF168" i="1"/>
  <c r="GG168" i="1"/>
  <c r="GH168" i="1"/>
  <c r="GI168" i="1"/>
  <c r="GJ168" i="1"/>
  <c r="GK168" i="1"/>
  <c r="GL168" i="1"/>
  <c r="GM168" i="1"/>
  <c r="GN168" i="1"/>
  <c r="GO168" i="1"/>
  <c r="GP168" i="1"/>
  <c r="GQ168" i="1"/>
  <c r="GR168" i="1"/>
  <c r="GS168" i="1"/>
  <c r="GT168" i="1"/>
  <c r="GU168" i="1"/>
  <c r="GV168" i="1"/>
  <c r="GW168" i="1"/>
  <c r="GX168" i="1"/>
  <c r="D171" i="1"/>
  <c r="I171" i="1"/>
  <c r="K171" i="1"/>
  <c r="AC171" i="1"/>
  <c r="CQ171" i="1" s="1"/>
  <c r="P171" i="1" s="1"/>
  <c r="AE171" i="1"/>
  <c r="AF171" i="1"/>
  <c r="AG171" i="1"/>
  <c r="CU171" i="1" s="1"/>
  <c r="T171" i="1" s="1"/>
  <c r="AH171" i="1"/>
  <c r="CV171" i="1" s="1"/>
  <c r="U171" i="1" s="1"/>
  <c r="AI171" i="1"/>
  <c r="CW171" i="1" s="1"/>
  <c r="AJ171" i="1"/>
  <c r="CX171" i="1"/>
  <c r="W171" i="1" s="1"/>
  <c r="FR171" i="1"/>
  <c r="GL171" i="1"/>
  <c r="GN171" i="1"/>
  <c r="GO171" i="1"/>
  <c r="GV171" i="1"/>
  <c r="HC171" i="1" s="1"/>
  <c r="D172" i="1"/>
  <c r="I172" i="1"/>
  <c r="K172" i="1"/>
  <c r="AC172" i="1"/>
  <c r="AD172" i="1"/>
  <c r="AE172" i="1"/>
  <c r="AF172" i="1"/>
  <c r="AG172" i="1"/>
  <c r="CU172" i="1" s="1"/>
  <c r="T172" i="1" s="1"/>
  <c r="AH172" i="1"/>
  <c r="CV172" i="1" s="1"/>
  <c r="AI172" i="1"/>
  <c r="CW172" i="1" s="1"/>
  <c r="V172" i="1" s="1"/>
  <c r="AJ172" i="1"/>
  <c r="CX172" i="1" s="1"/>
  <c r="CQ172" i="1"/>
  <c r="CR172" i="1"/>
  <c r="CS172" i="1"/>
  <c r="CT172" i="1"/>
  <c r="FR172" i="1"/>
  <c r="GL172" i="1"/>
  <c r="GN172" i="1"/>
  <c r="GO172" i="1"/>
  <c r="GV172" i="1"/>
  <c r="HC172" i="1" s="1"/>
  <c r="D173" i="1"/>
  <c r="I173" i="1"/>
  <c r="K173" i="1"/>
  <c r="AC173" i="1"/>
  <c r="AE173" i="1"/>
  <c r="AF173" i="1"/>
  <c r="AG173" i="1"/>
  <c r="AH173" i="1"/>
  <c r="CV173" i="1" s="1"/>
  <c r="AI173" i="1"/>
  <c r="AJ173" i="1"/>
  <c r="CX173" i="1" s="1"/>
  <c r="W173" i="1" s="1"/>
  <c r="CT173" i="1"/>
  <c r="CU173" i="1"/>
  <c r="CW173" i="1"/>
  <c r="FR173" i="1"/>
  <c r="GL173" i="1"/>
  <c r="GN173" i="1"/>
  <c r="GO173" i="1"/>
  <c r="GV173" i="1"/>
  <c r="HC173" i="1" s="1"/>
  <c r="D174" i="1"/>
  <c r="I174" i="1"/>
  <c r="K174" i="1"/>
  <c r="AC174" i="1"/>
  <c r="CQ174" i="1" s="1"/>
  <c r="P174" i="1" s="1"/>
  <c r="AE174" i="1"/>
  <c r="AF174" i="1"/>
  <c r="AG174" i="1"/>
  <c r="CU174" i="1" s="1"/>
  <c r="T174" i="1" s="1"/>
  <c r="AH174" i="1"/>
  <c r="CV174" i="1" s="1"/>
  <c r="U174" i="1" s="1"/>
  <c r="AI174" i="1"/>
  <c r="AJ174" i="1"/>
  <c r="CW174" i="1"/>
  <c r="V174" i="1" s="1"/>
  <c r="CX174" i="1"/>
  <c r="W174" i="1" s="1"/>
  <c r="FR174" i="1"/>
  <c r="GL174" i="1"/>
  <c r="GN174" i="1"/>
  <c r="GO174" i="1"/>
  <c r="GV174" i="1"/>
  <c r="HC174" i="1" s="1"/>
  <c r="GX174" i="1" s="1"/>
  <c r="D175" i="1"/>
  <c r="I175" i="1"/>
  <c r="K175" i="1"/>
  <c r="AC175" i="1"/>
  <c r="CQ175" i="1" s="1"/>
  <c r="P175" i="1" s="1"/>
  <c r="AE175" i="1"/>
  <c r="AF175" i="1"/>
  <c r="AG175" i="1"/>
  <c r="CU175" i="1" s="1"/>
  <c r="AH175" i="1"/>
  <c r="CV175" i="1" s="1"/>
  <c r="AI175" i="1"/>
  <c r="CW175" i="1" s="1"/>
  <c r="AJ175" i="1"/>
  <c r="CX175" i="1" s="1"/>
  <c r="FR175" i="1"/>
  <c r="GL175" i="1"/>
  <c r="GN175" i="1"/>
  <c r="GO175" i="1"/>
  <c r="GV175" i="1"/>
  <c r="HC175" i="1" s="1"/>
  <c r="D176" i="1"/>
  <c r="I176" i="1"/>
  <c r="GX176" i="1" s="1"/>
  <c r="K176" i="1"/>
  <c r="AC176" i="1"/>
  <c r="AD176" i="1"/>
  <c r="AE176" i="1"/>
  <c r="AF176" i="1"/>
  <c r="CT176" i="1" s="1"/>
  <c r="S176" i="1" s="1"/>
  <c r="AG176" i="1"/>
  <c r="AH176" i="1"/>
  <c r="CV176" i="1" s="1"/>
  <c r="AI176" i="1"/>
  <c r="CW176" i="1" s="1"/>
  <c r="AJ176" i="1"/>
  <c r="CX176" i="1" s="1"/>
  <c r="CQ176" i="1"/>
  <c r="CR176" i="1"/>
  <c r="CS176" i="1"/>
  <c r="CU176" i="1"/>
  <c r="FR176" i="1"/>
  <c r="GL176" i="1"/>
  <c r="GN176" i="1"/>
  <c r="GO176" i="1"/>
  <c r="GV176" i="1"/>
  <c r="HC176" i="1"/>
  <c r="D177" i="1"/>
  <c r="I177" i="1"/>
  <c r="K177" i="1"/>
  <c r="AC177" i="1"/>
  <c r="AE177" i="1"/>
  <c r="AF177" i="1"/>
  <c r="AG177" i="1"/>
  <c r="CU177" i="1" s="1"/>
  <c r="AH177" i="1"/>
  <c r="AI177" i="1"/>
  <c r="CW177" i="1" s="1"/>
  <c r="AJ177" i="1"/>
  <c r="CX177" i="1" s="1"/>
  <c r="CV177" i="1"/>
  <c r="FR177" i="1"/>
  <c r="GL177" i="1"/>
  <c r="GN177" i="1"/>
  <c r="GO177" i="1"/>
  <c r="GV177" i="1"/>
  <c r="HC177" i="1" s="1"/>
  <c r="D178" i="1"/>
  <c r="I178" i="1"/>
  <c r="K178" i="1"/>
  <c r="AC178" i="1"/>
  <c r="AE178" i="1"/>
  <c r="AF178" i="1"/>
  <c r="CT178" i="1" s="1"/>
  <c r="AG178" i="1"/>
  <c r="CU178" i="1" s="1"/>
  <c r="AH178" i="1"/>
  <c r="AI178" i="1"/>
  <c r="AJ178" i="1"/>
  <c r="CQ178" i="1"/>
  <c r="CV178" i="1"/>
  <c r="CW178" i="1"/>
  <c r="CX178" i="1"/>
  <c r="W178" i="1" s="1"/>
  <c r="FR178" i="1"/>
  <c r="GL178" i="1"/>
  <c r="GN178" i="1"/>
  <c r="GO178" i="1"/>
  <c r="GV178" i="1"/>
  <c r="HC178" i="1" s="1"/>
  <c r="GX178" i="1" s="1"/>
  <c r="D180" i="1"/>
  <c r="I180" i="1"/>
  <c r="K180" i="1"/>
  <c r="AC180" i="1"/>
  <c r="CQ180" i="1" s="1"/>
  <c r="P180" i="1" s="1"/>
  <c r="AE180" i="1"/>
  <c r="AF180" i="1"/>
  <c r="AG180" i="1"/>
  <c r="CU180" i="1" s="1"/>
  <c r="AH180" i="1"/>
  <c r="CV180" i="1" s="1"/>
  <c r="AI180" i="1"/>
  <c r="CW180" i="1" s="1"/>
  <c r="AJ180" i="1"/>
  <c r="CX180" i="1" s="1"/>
  <c r="FR180" i="1"/>
  <c r="GL180" i="1"/>
  <c r="GN180" i="1"/>
  <c r="GO180" i="1"/>
  <c r="GV180" i="1"/>
  <c r="HC180" i="1" s="1"/>
  <c r="D181" i="1"/>
  <c r="I181" i="1"/>
  <c r="K181" i="1"/>
  <c r="V181" i="1"/>
  <c r="AC181" i="1"/>
  <c r="CQ181" i="1" s="1"/>
  <c r="P181" i="1" s="1"/>
  <c r="AE181" i="1"/>
  <c r="CR181" i="1" s="1"/>
  <c r="AF181" i="1"/>
  <c r="AG181" i="1"/>
  <c r="AH181" i="1"/>
  <c r="CV181" i="1" s="1"/>
  <c r="AI181" i="1"/>
  <c r="CW181" i="1" s="1"/>
  <c r="AJ181" i="1"/>
  <c r="CX181" i="1" s="1"/>
  <c r="CS181" i="1"/>
  <c r="CT181" i="1"/>
  <c r="CU181" i="1"/>
  <c r="T181" i="1" s="1"/>
  <c r="FR181" i="1"/>
  <c r="GL181" i="1"/>
  <c r="GN181" i="1"/>
  <c r="GO181" i="1"/>
  <c r="GV181" i="1"/>
  <c r="HC181" i="1"/>
  <c r="D183" i="1"/>
  <c r="I183" i="1"/>
  <c r="K183" i="1"/>
  <c r="AC183" i="1"/>
  <c r="CQ183" i="1" s="1"/>
  <c r="P183" i="1" s="1"/>
  <c r="AD183" i="1"/>
  <c r="AE183" i="1"/>
  <c r="AF183" i="1"/>
  <c r="AG183" i="1"/>
  <c r="AH183" i="1"/>
  <c r="CV183" i="1" s="1"/>
  <c r="U183" i="1" s="1"/>
  <c r="AI183" i="1"/>
  <c r="AJ183" i="1"/>
  <c r="CS183" i="1"/>
  <c r="CU183" i="1"/>
  <c r="T183" i="1" s="1"/>
  <c r="CW183" i="1"/>
  <c r="V183" i="1" s="1"/>
  <c r="CX183" i="1"/>
  <c r="W183" i="1" s="1"/>
  <c r="FR183" i="1"/>
  <c r="GL183" i="1"/>
  <c r="GN183" i="1"/>
  <c r="GO183" i="1"/>
  <c r="GV183" i="1"/>
  <c r="HC183" i="1" s="1"/>
  <c r="D184" i="1"/>
  <c r="I184" i="1"/>
  <c r="K184" i="1"/>
  <c r="S184" i="1"/>
  <c r="CZ184" i="1" s="1"/>
  <c r="Y184" i="1" s="1"/>
  <c r="AC184" i="1"/>
  <c r="AE184" i="1"/>
  <c r="CR184" i="1" s="1"/>
  <c r="Q184" i="1" s="1"/>
  <c r="AF184" i="1"/>
  <c r="CT184" i="1" s="1"/>
  <c r="AG184" i="1"/>
  <c r="CU184" i="1" s="1"/>
  <c r="T184" i="1" s="1"/>
  <c r="AH184" i="1"/>
  <c r="CV184" i="1" s="1"/>
  <c r="AI184" i="1"/>
  <c r="CW184" i="1" s="1"/>
  <c r="AJ184" i="1"/>
  <c r="CX184" i="1" s="1"/>
  <c r="W184" i="1" s="1"/>
  <c r="CS184" i="1"/>
  <c r="R184" i="1" s="1"/>
  <c r="GK184" i="1" s="1"/>
  <c r="FR184" i="1"/>
  <c r="GL184" i="1"/>
  <c r="GN184" i="1"/>
  <c r="GO184" i="1"/>
  <c r="GV184" i="1"/>
  <c r="HC184" i="1"/>
  <c r="D185" i="1"/>
  <c r="I185" i="1"/>
  <c r="K185" i="1"/>
  <c r="W185" i="1"/>
  <c r="AC185" i="1"/>
  <c r="CQ185" i="1" s="1"/>
  <c r="P185" i="1" s="1"/>
  <c r="AE185" i="1"/>
  <c r="AF185" i="1"/>
  <c r="AG185" i="1"/>
  <c r="AH185" i="1"/>
  <c r="CV185" i="1" s="1"/>
  <c r="AI185" i="1"/>
  <c r="AJ185" i="1"/>
  <c r="CX185" i="1" s="1"/>
  <c r="CT185" i="1"/>
  <c r="CU185" i="1"/>
  <c r="CW185" i="1"/>
  <c r="FR185" i="1"/>
  <c r="GL185" i="1"/>
  <c r="GN185" i="1"/>
  <c r="GO185" i="1"/>
  <c r="GV185" i="1"/>
  <c r="HC185" i="1" s="1"/>
  <c r="D186" i="1"/>
  <c r="I186" i="1"/>
  <c r="K186" i="1"/>
  <c r="P186" i="1"/>
  <c r="AC186" i="1"/>
  <c r="CQ186" i="1" s="1"/>
  <c r="AD186" i="1"/>
  <c r="AE186" i="1"/>
  <c r="AF186" i="1"/>
  <c r="CT186" i="1" s="1"/>
  <c r="S186" i="1" s="1"/>
  <c r="AG186" i="1"/>
  <c r="CU186" i="1" s="1"/>
  <c r="T186" i="1" s="1"/>
  <c r="AH186" i="1"/>
  <c r="CV186" i="1" s="1"/>
  <c r="U186" i="1" s="1"/>
  <c r="AI186" i="1"/>
  <c r="CW186" i="1" s="1"/>
  <c r="V186" i="1" s="1"/>
  <c r="AJ186" i="1"/>
  <c r="CR186" i="1"/>
  <c r="Q186" i="1" s="1"/>
  <c r="CS186" i="1"/>
  <c r="R186" i="1" s="1"/>
  <c r="GK186" i="1" s="1"/>
  <c r="CX186" i="1"/>
  <c r="W186" i="1" s="1"/>
  <c r="FR186" i="1"/>
  <c r="GL186" i="1"/>
  <c r="GN186" i="1"/>
  <c r="GO186" i="1"/>
  <c r="GV186" i="1"/>
  <c r="HC186" i="1" s="1"/>
  <c r="GX186" i="1" s="1"/>
  <c r="D187" i="1"/>
  <c r="I187" i="1"/>
  <c r="K187" i="1"/>
  <c r="AC187" i="1"/>
  <c r="AE187" i="1"/>
  <c r="AF187" i="1"/>
  <c r="CT187" i="1" s="1"/>
  <c r="AG187" i="1"/>
  <c r="CU187" i="1" s="1"/>
  <c r="AH187" i="1"/>
  <c r="CV187" i="1" s="1"/>
  <c r="AI187" i="1"/>
  <c r="CW187" i="1" s="1"/>
  <c r="AJ187" i="1"/>
  <c r="CX187" i="1" s="1"/>
  <c r="CQ187" i="1"/>
  <c r="FR187" i="1"/>
  <c r="GL187" i="1"/>
  <c r="GN187" i="1"/>
  <c r="GO187" i="1"/>
  <c r="GV187" i="1"/>
  <c r="HC187" i="1" s="1"/>
  <c r="GX187" i="1" s="1"/>
  <c r="D188" i="1"/>
  <c r="I188" i="1"/>
  <c r="K188" i="1"/>
  <c r="AC188" i="1"/>
  <c r="CQ188" i="1" s="1"/>
  <c r="P188" i="1" s="1"/>
  <c r="AE188" i="1"/>
  <c r="AD188" i="1" s="1"/>
  <c r="AF188" i="1"/>
  <c r="CT188" i="1" s="1"/>
  <c r="S188" i="1" s="1"/>
  <c r="AG188" i="1"/>
  <c r="CU188" i="1" s="1"/>
  <c r="T188" i="1" s="1"/>
  <c r="AH188" i="1"/>
  <c r="AI188" i="1"/>
  <c r="AJ188" i="1"/>
  <c r="CX188" i="1" s="1"/>
  <c r="W188" i="1" s="1"/>
  <c r="CS188" i="1"/>
  <c r="R188" i="1" s="1"/>
  <c r="GK188" i="1" s="1"/>
  <c r="CV188" i="1"/>
  <c r="CW188" i="1"/>
  <c r="V188" i="1" s="1"/>
  <c r="FR188" i="1"/>
  <c r="GL188" i="1"/>
  <c r="GN188" i="1"/>
  <c r="GO188" i="1"/>
  <c r="GV188" i="1"/>
  <c r="HC188" i="1"/>
  <c r="D190" i="1"/>
  <c r="I190" i="1"/>
  <c r="K190" i="1"/>
  <c r="AC190" i="1"/>
  <c r="AE190" i="1"/>
  <c r="AF190" i="1"/>
  <c r="AG190" i="1"/>
  <c r="CU190" i="1" s="1"/>
  <c r="T190" i="1" s="1"/>
  <c r="AH190" i="1"/>
  <c r="AI190" i="1"/>
  <c r="AJ190" i="1"/>
  <c r="CQ190" i="1"/>
  <c r="P190" i="1" s="1"/>
  <c r="CS190" i="1"/>
  <c r="CV190" i="1"/>
  <c r="U190" i="1" s="1"/>
  <c r="CW190" i="1"/>
  <c r="V190" i="1" s="1"/>
  <c r="CX190" i="1"/>
  <c r="W190" i="1" s="1"/>
  <c r="FR190" i="1"/>
  <c r="GL190" i="1"/>
  <c r="GN190" i="1"/>
  <c r="GO190" i="1"/>
  <c r="GV190" i="1"/>
  <c r="HC190" i="1" s="1"/>
  <c r="GX190" i="1" s="1"/>
  <c r="D191" i="1"/>
  <c r="I191" i="1"/>
  <c r="K191" i="1"/>
  <c r="AC191" i="1"/>
  <c r="CQ191" i="1" s="1"/>
  <c r="AE191" i="1"/>
  <c r="AF191" i="1"/>
  <c r="CT191" i="1" s="1"/>
  <c r="S191" i="1" s="1"/>
  <c r="AG191" i="1"/>
  <c r="CU191" i="1" s="1"/>
  <c r="AH191" i="1"/>
  <c r="CV191" i="1" s="1"/>
  <c r="AI191" i="1"/>
  <c r="CW191" i="1" s="1"/>
  <c r="AJ191" i="1"/>
  <c r="CX191" i="1" s="1"/>
  <c r="FR191" i="1"/>
  <c r="GL191" i="1"/>
  <c r="GN191" i="1"/>
  <c r="GO191" i="1"/>
  <c r="GV191" i="1"/>
  <c r="HC191" i="1"/>
  <c r="GX191" i="1" s="1"/>
  <c r="D192" i="1"/>
  <c r="I192" i="1"/>
  <c r="K192" i="1"/>
  <c r="AC192" i="1"/>
  <c r="CQ192" i="1" s="1"/>
  <c r="AE192" i="1"/>
  <c r="AF192" i="1"/>
  <c r="AG192" i="1"/>
  <c r="CU192" i="1" s="1"/>
  <c r="AH192" i="1"/>
  <c r="CV192" i="1" s="1"/>
  <c r="AI192" i="1"/>
  <c r="CW192" i="1" s="1"/>
  <c r="AJ192" i="1"/>
  <c r="CX192" i="1" s="1"/>
  <c r="FR192" i="1"/>
  <c r="GL192" i="1"/>
  <c r="GN192" i="1"/>
  <c r="GO192" i="1"/>
  <c r="GV192" i="1"/>
  <c r="HC192" i="1" s="1"/>
  <c r="D193" i="1"/>
  <c r="I193" i="1"/>
  <c r="K193" i="1"/>
  <c r="W193" i="1"/>
  <c r="AC193" i="1"/>
  <c r="AE193" i="1"/>
  <c r="AF193" i="1"/>
  <c r="CT193" i="1" s="1"/>
  <c r="S193" i="1" s="1"/>
  <c r="AG193" i="1"/>
  <c r="AH193" i="1"/>
  <c r="AI193" i="1"/>
  <c r="AJ193" i="1"/>
  <c r="CX193" i="1" s="1"/>
  <c r="CQ193" i="1"/>
  <c r="P193" i="1" s="1"/>
  <c r="CU193" i="1"/>
  <c r="T193" i="1" s="1"/>
  <c r="CV193" i="1"/>
  <c r="U193" i="1" s="1"/>
  <c r="CW193" i="1"/>
  <c r="V193" i="1" s="1"/>
  <c r="FR193" i="1"/>
  <c r="GL193" i="1"/>
  <c r="GN193" i="1"/>
  <c r="GO193" i="1"/>
  <c r="GV193" i="1"/>
  <c r="HC193" i="1"/>
  <c r="GX193" i="1" s="1"/>
  <c r="D194" i="1"/>
  <c r="I194" i="1"/>
  <c r="K194" i="1"/>
  <c r="AC194" i="1"/>
  <c r="CQ194" i="1" s="1"/>
  <c r="AE194" i="1"/>
  <c r="AF194" i="1"/>
  <c r="CT194" i="1" s="1"/>
  <c r="S194" i="1" s="1"/>
  <c r="AG194" i="1"/>
  <c r="CU194" i="1" s="1"/>
  <c r="T194" i="1" s="1"/>
  <c r="AH194" i="1"/>
  <c r="CV194" i="1" s="1"/>
  <c r="AI194" i="1"/>
  <c r="CW194" i="1" s="1"/>
  <c r="V194" i="1" s="1"/>
  <c r="AJ194" i="1"/>
  <c r="CX194" i="1" s="1"/>
  <c r="W194" i="1" s="1"/>
  <c r="FR194" i="1"/>
  <c r="GL194" i="1"/>
  <c r="GN194" i="1"/>
  <c r="GO194" i="1"/>
  <c r="GV194" i="1"/>
  <c r="HC194" i="1" s="1"/>
  <c r="GX194" i="1"/>
  <c r="D195" i="1"/>
  <c r="I195" i="1"/>
  <c r="K195" i="1"/>
  <c r="AC195" i="1"/>
  <c r="CQ195" i="1" s="1"/>
  <c r="AE195" i="1"/>
  <c r="AF195" i="1"/>
  <c r="AG195" i="1"/>
  <c r="AH195" i="1"/>
  <c r="CV195" i="1" s="1"/>
  <c r="U195" i="1" s="1"/>
  <c r="AI195" i="1"/>
  <c r="AJ195" i="1"/>
  <c r="CT195" i="1"/>
  <c r="CU195" i="1"/>
  <c r="T195" i="1" s="1"/>
  <c r="CW195" i="1"/>
  <c r="V195" i="1" s="1"/>
  <c r="CX195" i="1"/>
  <c r="W195" i="1" s="1"/>
  <c r="FR195" i="1"/>
  <c r="GL195" i="1"/>
  <c r="GN195" i="1"/>
  <c r="GO195" i="1"/>
  <c r="GV195" i="1"/>
  <c r="HC195" i="1"/>
  <c r="GX195" i="1" s="1"/>
  <c r="D197" i="1"/>
  <c r="I197" i="1"/>
  <c r="K197" i="1"/>
  <c r="U197" i="1"/>
  <c r="AC197" i="1"/>
  <c r="CQ197" i="1" s="1"/>
  <c r="P197" i="1" s="1"/>
  <c r="AE197" i="1"/>
  <c r="CR197" i="1" s="1"/>
  <c r="Q197" i="1" s="1"/>
  <c r="AF197" i="1"/>
  <c r="AG197" i="1"/>
  <c r="CU197" i="1" s="1"/>
  <c r="T197" i="1" s="1"/>
  <c r="AH197" i="1"/>
  <c r="CV197" i="1" s="1"/>
  <c r="AI197" i="1"/>
  <c r="CW197" i="1" s="1"/>
  <c r="V197" i="1" s="1"/>
  <c r="AJ197" i="1"/>
  <c r="CX197" i="1" s="1"/>
  <c r="W197" i="1" s="1"/>
  <c r="CS197" i="1"/>
  <c r="FR197" i="1"/>
  <c r="GL197" i="1"/>
  <c r="GN197" i="1"/>
  <c r="GO197" i="1"/>
  <c r="GV197" i="1"/>
  <c r="HC197" i="1" s="1"/>
  <c r="GX197" i="1" s="1"/>
  <c r="D198" i="1"/>
  <c r="I198" i="1"/>
  <c r="K198" i="1"/>
  <c r="AC198" i="1"/>
  <c r="AE198" i="1"/>
  <c r="AF198" i="1"/>
  <c r="AG198" i="1"/>
  <c r="CU198" i="1" s="1"/>
  <c r="T198" i="1" s="1"/>
  <c r="AH198" i="1"/>
  <c r="CV198" i="1" s="1"/>
  <c r="AI198" i="1"/>
  <c r="CW198" i="1" s="1"/>
  <c r="V198" i="1" s="1"/>
  <c r="AJ198" i="1"/>
  <c r="CX198" i="1" s="1"/>
  <c r="W198" i="1" s="1"/>
  <c r="CQ198" i="1"/>
  <c r="P198" i="1" s="1"/>
  <c r="FR198" i="1"/>
  <c r="GL198" i="1"/>
  <c r="GN198" i="1"/>
  <c r="GO198" i="1"/>
  <c r="GV198" i="1"/>
  <c r="HC198" i="1" s="1"/>
  <c r="GX198" i="1" s="1"/>
  <c r="D199" i="1"/>
  <c r="I199" i="1"/>
  <c r="K199" i="1"/>
  <c r="AB199" i="1"/>
  <c r="AC199" i="1"/>
  <c r="CQ199" i="1" s="1"/>
  <c r="AE199" i="1"/>
  <c r="AD199" i="1" s="1"/>
  <c r="AF199" i="1"/>
  <c r="AG199" i="1"/>
  <c r="AH199" i="1"/>
  <c r="AI199" i="1"/>
  <c r="CW199" i="1" s="1"/>
  <c r="V199" i="1" s="1"/>
  <c r="AJ199" i="1"/>
  <c r="CX199" i="1" s="1"/>
  <c r="W199" i="1" s="1"/>
  <c r="CR199" i="1"/>
  <c r="CS199" i="1"/>
  <c r="CT199" i="1"/>
  <c r="S199" i="1" s="1"/>
  <c r="CU199" i="1"/>
  <c r="CV199" i="1"/>
  <c r="U199" i="1" s="1"/>
  <c r="FR199" i="1"/>
  <c r="GL199" i="1"/>
  <c r="GN199" i="1"/>
  <c r="GO199" i="1"/>
  <c r="GV199" i="1"/>
  <c r="HC199" i="1"/>
  <c r="B201" i="1"/>
  <c r="B168" i="1" s="1"/>
  <c r="C201" i="1"/>
  <c r="C168" i="1" s="1"/>
  <c r="D201" i="1"/>
  <c r="D168" i="1" s="1"/>
  <c r="F201" i="1"/>
  <c r="F168" i="1" s="1"/>
  <c r="G201" i="1"/>
  <c r="BX201" i="1"/>
  <c r="CK201" i="1"/>
  <c r="CK168" i="1" s="1"/>
  <c r="CL201" i="1"/>
  <c r="CL168" i="1" s="1"/>
  <c r="CM201" i="1"/>
  <c r="CM168" i="1" s="1"/>
  <c r="B231" i="1"/>
  <c r="B26" i="1" s="1"/>
  <c r="C231" i="1"/>
  <c r="C26" i="1" s="1"/>
  <c r="D231" i="1"/>
  <c r="D26" i="1" s="1"/>
  <c r="F231" i="1"/>
  <c r="F26" i="1" s="1"/>
  <c r="G231" i="1"/>
  <c r="D261" i="1"/>
  <c r="E263" i="1"/>
  <c r="Z263" i="1"/>
  <c r="AA263" i="1"/>
  <c r="AB263" i="1"/>
  <c r="AC263" i="1"/>
  <c r="AD263" i="1"/>
  <c r="AE263" i="1"/>
  <c r="AF263" i="1"/>
  <c r="AG263" i="1"/>
  <c r="AH263" i="1"/>
  <c r="AI263" i="1"/>
  <c r="AJ263" i="1"/>
  <c r="AK263" i="1"/>
  <c r="AL263" i="1"/>
  <c r="AM263" i="1"/>
  <c r="AN263" i="1"/>
  <c r="BE263" i="1"/>
  <c r="BF263" i="1"/>
  <c r="BG263" i="1"/>
  <c r="BH263" i="1"/>
  <c r="BI263" i="1"/>
  <c r="BJ263" i="1"/>
  <c r="BK263" i="1"/>
  <c r="BL263" i="1"/>
  <c r="BM263" i="1"/>
  <c r="BN263" i="1"/>
  <c r="BO263" i="1"/>
  <c r="BP263" i="1"/>
  <c r="BQ263" i="1"/>
  <c r="BR263" i="1"/>
  <c r="BS263" i="1"/>
  <c r="BT263" i="1"/>
  <c r="BU263" i="1"/>
  <c r="BV263" i="1"/>
  <c r="BW263" i="1"/>
  <c r="BX263" i="1"/>
  <c r="BY263" i="1"/>
  <c r="BZ263" i="1"/>
  <c r="CA263" i="1"/>
  <c r="CB263" i="1"/>
  <c r="CC263" i="1"/>
  <c r="CD263" i="1"/>
  <c r="CE263" i="1"/>
  <c r="CF263" i="1"/>
  <c r="CG263" i="1"/>
  <c r="CH263" i="1"/>
  <c r="CI263" i="1"/>
  <c r="CJ263" i="1"/>
  <c r="CK263" i="1"/>
  <c r="CL263" i="1"/>
  <c r="CM263" i="1"/>
  <c r="CN263" i="1"/>
  <c r="CO263" i="1"/>
  <c r="CP263" i="1"/>
  <c r="CQ263" i="1"/>
  <c r="CR263" i="1"/>
  <c r="CS263" i="1"/>
  <c r="CT263" i="1"/>
  <c r="CU263" i="1"/>
  <c r="CV263" i="1"/>
  <c r="CW263" i="1"/>
  <c r="CX263" i="1"/>
  <c r="CY263" i="1"/>
  <c r="CZ263" i="1"/>
  <c r="DA263" i="1"/>
  <c r="DB263" i="1"/>
  <c r="DC263" i="1"/>
  <c r="DD263" i="1"/>
  <c r="DE263" i="1"/>
  <c r="DF263" i="1"/>
  <c r="DG263" i="1"/>
  <c r="DH263" i="1"/>
  <c r="DI263" i="1"/>
  <c r="DJ263" i="1"/>
  <c r="DK263" i="1"/>
  <c r="DL263" i="1"/>
  <c r="DM263" i="1"/>
  <c r="DN263" i="1"/>
  <c r="DO263" i="1"/>
  <c r="DP263" i="1"/>
  <c r="DQ263" i="1"/>
  <c r="DR263" i="1"/>
  <c r="DS263" i="1"/>
  <c r="DT263" i="1"/>
  <c r="DU263" i="1"/>
  <c r="DV263" i="1"/>
  <c r="DW263" i="1"/>
  <c r="DX263" i="1"/>
  <c r="DY263" i="1"/>
  <c r="DZ263" i="1"/>
  <c r="EA263" i="1"/>
  <c r="EB263" i="1"/>
  <c r="EC263" i="1"/>
  <c r="ED263" i="1"/>
  <c r="EE263" i="1"/>
  <c r="EF263" i="1"/>
  <c r="EG263" i="1"/>
  <c r="EH263" i="1"/>
  <c r="EI263" i="1"/>
  <c r="EJ263" i="1"/>
  <c r="EK263" i="1"/>
  <c r="EL263" i="1"/>
  <c r="EM263" i="1"/>
  <c r="EN263" i="1"/>
  <c r="EO263" i="1"/>
  <c r="EP263" i="1"/>
  <c r="EQ263" i="1"/>
  <c r="ER263" i="1"/>
  <c r="ES263" i="1"/>
  <c r="ET263" i="1"/>
  <c r="EU263" i="1"/>
  <c r="EV263" i="1"/>
  <c r="EW263" i="1"/>
  <c r="EX263" i="1"/>
  <c r="EY263" i="1"/>
  <c r="EZ263" i="1"/>
  <c r="FA263" i="1"/>
  <c r="FB263" i="1"/>
  <c r="FC263" i="1"/>
  <c r="FD263" i="1"/>
  <c r="FE263" i="1"/>
  <c r="FF263" i="1"/>
  <c r="FG263" i="1"/>
  <c r="FH263" i="1"/>
  <c r="FI263" i="1"/>
  <c r="FJ263" i="1"/>
  <c r="FK263" i="1"/>
  <c r="FL263" i="1"/>
  <c r="FM263" i="1"/>
  <c r="FN263" i="1"/>
  <c r="FO263" i="1"/>
  <c r="FP263" i="1"/>
  <c r="FQ263" i="1"/>
  <c r="FR263" i="1"/>
  <c r="FS263" i="1"/>
  <c r="FT263" i="1"/>
  <c r="FU263" i="1"/>
  <c r="FV263" i="1"/>
  <c r="FW263" i="1"/>
  <c r="FX263" i="1"/>
  <c r="FY263" i="1"/>
  <c r="FZ263" i="1"/>
  <c r="GA263" i="1"/>
  <c r="GB263" i="1"/>
  <c r="GC263" i="1"/>
  <c r="GD263" i="1"/>
  <c r="GE263" i="1"/>
  <c r="GF263" i="1"/>
  <c r="GG263" i="1"/>
  <c r="GH263" i="1"/>
  <c r="GI263" i="1"/>
  <c r="GJ263" i="1"/>
  <c r="GK263" i="1"/>
  <c r="GL263" i="1"/>
  <c r="GM263" i="1"/>
  <c r="GN263" i="1"/>
  <c r="GO263" i="1"/>
  <c r="GP263" i="1"/>
  <c r="GQ263" i="1"/>
  <c r="GR263" i="1"/>
  <c r="GS263" i="1"/>
  <c r="GT263" i="1"/>
  <c r="GU263" i="1"/>
  <c r="GV263" i="1"/>
  <c r="GW263" i="1"/>
  <c r="GX263" i="1"/>
  <c r="D265" i="1"/>
  <c r="E267" i="1"/>
  <c r="Z267" i="1"/>
  <c r="AA267" i="1"/>
  <c r="AM267" i="1"/>
  <c r="AN267" i="1"/>
  <c r="BE267" i="1"/>
  <c r="BF267" i="1"/>
  <c r="BG267" i="1"/>
  <c r="BH267" i="1"/>
  <c r="BI267" i="1"/>
  <c r="BJ267" i="1"/>
  <c r="BK267" i="1"/>
  <c r="BL267" i="1"/>
  <c r="BM267" i="1"/>
  <c r="BN267" i="1"/>
  <c r="BO267" i="1"/>
  <c r="BP267" i="1"/>
  <c r="BQ267" i="1"/>
  <c r="BR267" i="1"/>
  <c r="BS267" i="1"/>
  <c r="BT267" i="1"/>
  <c r="BU267" i="1"/>
  <c r="BV267" i="1"/>
  <c r="BW267" i="1"/>
  <c r="CN267" i="1"/>
  <c r="CO267" i="1"/>
  <c r="CP267" i="1"/>
  <c r="CQ267" i="1"/>
  <c r="CR267" i="1"/>
  <c r="CS267" i="1"/>
  <c r="CT267" i="1"/>
  <c r="CU267" i="1"/>
  <c r="CV267" i="1"/>
  <c r="CW267" i="1"/>
  <c r="CX267" i="1"/>
  <c r="CY267" i="1"/>
  <c r="CZ267" i="1"/>
  <c r="DA267" i="1"/>
  <c r="DB267" i="1"/>
  <c r="DC267" i="1"/>
  <c r="DD267" i="1"/>
  <c r="DE267" i="1"/>
  <c r="DF267" i="1"/>
  <c r="DG267" i="1"/>
  <c r="DH267" i="1"/>
  <c r="DI267" i="1"/>
  <c r="DJ267" i="1"/>
  <c r="DK267" i="1"/>
  <c r="DL267" i="1"/>
  <c r="DM267" i="1"/>
  <c r="DN267" i="1"/>
  <c r="DO267" i="1"/>
  <c r="DP267" i="1"/>
  <c r="DQ267" i="1"/>
  <c r="DR267" i="1"/>
  <c r="DS267" i="1"/>
  <c r="DT267" i="1"/>
  <c r="DU267" i="1"/>
  <c r="DV267" i="1"/>
  <c r="DW267" i="1"/>
  <c r="DX267" i="1"/>
  <c r="DY267" i="1"/>
  <c r="DZ267" i="1"/>
  <c r="EA267" i="1"/>
  <c r="EB267" i="1"/>
  <c r="EC267" i="1"/>
  <c r="ED267" i="1"/>
  <c r="EE267" i="1"/>
  <c r="EF267" i="1"/>
  <c r="EG267" i="1"/>
  <c r="EH267" i="1"/>
  <c r="EI267" i="1"/>
  <c r="EJ267" i="1"/>
  <c r="EK267" i="1"/>
  <c r="EL267" i="1"/>
  <c r="EM267" i="1"/>
  <c r="EN267" i="1"/>
  <c r="EO267" i="1"/>
  <c r="EP267" i="1"/>
  <c r="EQ267" i="1"/>
  <c r="ER267" i="1"/>
  <c r="ES267" i="1"/>
  <c r="ET267" i="1"/>
  <c r="EU267" i="1"/>
  <c r="EV267" i="1"/>
  <c r="EW267" i="1"/>
  <c r="EX267" i="1"/>
  <c r="EY267" i="1"/>
  <c r="EZ267" i="1"/>
  <c r="FA267" i="1"/>
  <c r="FB267" i="1"/>
  <c r="FC267" i="1"/>
  <c r="FD267" i="1"/>
  <c r="FE267" i="1"/>
  <c r="FF267" i="1"/>
  <c r="FG267" i="1"/>
  <c r="FH267" i="1"/>
  <c r="FI267" i="1"/>
  <c r="FJ267" i="1"/>
  <c r="FK267" i="1"/>
  <c r="FL267" i="1"/>
  <c r="FM267" i="1"/>
  <c r="FN267" i="1"/>
  <c r="FO267" i="1"/>
  <c r="FP267" i="1"/>
  <c r="FQ267" i="1"/>
  <c r="FR267" i="1"/>
  <c r="FS267" i="1"/>
  <c r="FT267" i="1"/>
  <c r="FU267" i="1"/>
  <c r="FV267" i="1"/>
  <c r="FW267" i="1"/>
  <c r="FX267" i="1"/>
  <c r="FY267" i="1"/>
  <c r="FZ267" i="1"/>
  <c r="GA267" i="1"/>
  <c r="GB267" i="1"/>
  <c r="GC267" i="1"/>
  <c r="GD267" i="1"/>
  <c r="GE267" i="1"/>
  <c r="GF267" i="1"/>
  <c r="GG267" i="1"/>
  <c r="GH267" i="1"/>
  <c r="GI267" i="1"/>
  <c r="GJ267" i="1"/>
  <c r="GK267" i="1"/>
  <c r="GL267" i="1"/>
  <c r="GM267" i="1"/>
  <c r="GN267" i="1"/>
  <c r="GO267" i="1"/>
  <c r="GP267" i="1"/>
  <c r="GQ267" i="1"/>
  <c r="GR267" i="1"/>
  <c r="GS267" i="1"/>
  <c r="GT267" i="1"/>
  <c r="GU267" i="1"/>
  <c r="GV267" i="1"/>
  <c r="GW267" i="1"/>
  <c r="GX267" i="1"/>
  <c r="D269" i="1"/>
  <c r="I269" i="1"/>
  <c r="K269" i="1"/>
  <c r="AC269" i="1"/>
  <c r="AE269" i="1"/>
  <c r="AF269" i="1"/>
  <c r="CT269" i="1" s="1"/>
  <c r="AG269" i="1"/>
  <c r="CU269" i="1" s="1"/>
  <c r="AH269" i="1"/>
  <c r="CV269" i="1" s="1"/>
  <c r="AI269" i="1"/>
  <c r="CW269" i="1" s="1"/>
  <c r="V269" i="1" s="1"/>
  <c r="AJ269" i="1"/>
  <c r="CX269" i="1" s="1"/>
  <c r="W269" i="1" s="1"/>
  <c r="FR269" i="1"/>
  <c r="GL269" i="1"/>
  <c r="GN269" i="1"/>
  <c r="GO269" i="1"/>
  <c r="GV269" i="1"/>
  <c r="HC269" i="1" s="1"/>
  <c r="D270" i="1"/>
  <c r="I270" i="1"/>
  <c r="Q270" i="1" s="1"/>
  <c r="K270" i="1"/>
  <c r="AC270" i="1"/>
  <c r="CQ270" i="1" s="1"/>
  <c r="P270" i="1" s="1"/>
  <c r="AE270" i="1"/>
  <c r="CS270" i="1" s="1"/>
  <c r="AF270" i="1"/>
  <c r="CT270" i="1" s="1"/>
  <c r="AG270" i="1"/>
  <c r="CU270" i="1" s="1"/>
  <c r="AH270" i="1"/>
  <c r="CV270" i="1" s="1"/>
  <c r="AI270" i="1"/>
  <c r="CW270" i="1" s="1"/>
  <c r="AJ270" i="1"/>
  <c r="CX270" i="1" s="1"/>
  <c r="CR270" i="1"/>
  <c r="FR270" i="1"/>
  <c r="GL270" i="1"/>
  <c r="GN270" i="1"/>
  <c r="GO270" i="1"/>
  <c r="GV270" i="1"/>
  <c r="HC270" i="1" s="1"/>
  <c r="D271" i="1"/>
  <c r="I271" i="1"/>
  <c r="K271" i="1"/>
  <c r="AC271" i="1"/>
  <c r="CQ271" i="1" s="1"/>
  <c r="P271" i="1" s="1"/>
  <c r="AE271" i="1"/>
  <c r="AF271" i="1"/>
  <c r="AG271" i="1"/>
  <c r="AH271" i="1"/>
  <c r="CV271" i="1" s="1"/>
  <c r="U271" i="1" s="1"/>
  <c r="AI271" i="1"/>
  <c r="CW271" i="1" s="1"/>
  <c r="V271" i="1" s="1"/>
  <c r="AJ271" i="1"/>
  <c r="CX271" i="1" s="1"/>
  <c r="W271" i="1" s="1"/>
  <c r="CR271" i="1"/>
  <c r="Q271" i="1" s="1"/>
  <c r="CS271" i="1"/>
  <c r="CU271" i="1"/>
  <c r="T271" i="1" s="1"/>
  <c r="FR271" i="1"/>
  <c r="GL271" i="1"/>
  <c r="GN271" i="1"/>
  <c r="GO271" i="1"/>
  <c r="GV271" i="1"/>
  <c r="HC271" i="1" s="1"/>
  <c r="GX271" i="1" s="1"/>
  <c r="D272" i="1"/>
  <c r="I272" i="1"/>
  <c r="K272" i="1"/>
  <c r="AC272" i="1"/>
  <c r="CQ272" i="1" s="1"/>
  <c r="AE272" i="1"/>
  <c r="AF272" i="1"/>
  <c r="AG272" i="1"/>
  <c r="AH272" i="1"/>
  <c r="AI272" i="1"/>
  <c r="CW272" i="1" s="1"/>
  <c r="V272" i="1" s="1"/>
  <c r="AJ272" i="1"/>
  <c r="CU272" i="1"/>
  <c r="CV272" i="1"/>
  <c r="CX272" i="1"/>
  <c r="FR272" i="1"/>
  <c r="GL272" i="1"/>
  <c r="GN272" i="1"/>
  <c r="GO272" i="1"/>
  <c r="GV272" i="1"/>
  <c r="HC272" i="1" s="1"/>
  <c r="GX272" i="1"/>
  <c r="D273" i="1"/>
  <c r="I273" i="1"/>
  <c r="K273" i="1"/>
  <c r="AC273" i="1"/>
  <c r="CQ273" i="1" s="1"/>
  <c r="AE273" i="1"/>
  <c r="AF273" i="1"/>
  <c r="AG273" i="1"/>
  <c r="CU273" i="1" s="1"/>
  <c r="AH273" i="1"/>
  <c r="CV273" i="1" s="1"/>
  <c r="U273" i="1" s="1"/>
  <c r="AI273" i="1"/>
  <c r="AJ273" i="1"/>
  <c r="CW273" i="1"/>
  <c r="CX273" i="1"/>
  <c r="FR273" i="1"/>
  <c r="GL273" i="1"/>
  <c r="GN273" i="1"/>
  <c r="GO273" i="1"/>
  <c r="GV273" i="1"/>
  <c r="HC273" i="1"/>
  <c r="D274" i="1"/>
  <c r="U274" i="1"/>
  <c r="AC274" i="1"/>
  <c r="CQ274" i="1" s="1"/>
  <c r="P274" i="1" s="1"/>
  <c r="AE274" i="1"/>
  <c r="AF274" i="1"/>
  <c r="AG274" i="1"/>
  <c r="CU274" i="1" s="1"/>
  <c r="T274" i="1" s="1"/>
  <c r="AH274" i="1"/>
  <c r="CV274" i="1" s="1"/>
  <c r="AI274" i="1"/>
  <c r="CW274" i="1" s="1"/>
  <c r="V274" i="1" s="1"/>
  <c r="AJ274" i="1"/>
  <c r="CX274" i="1" s="1"/>
  <c r="W274" i="1" s="1"/>
  <c r="CT274" i="1"/>
  <c r="S274" i="1" s="1"/>
  <c r="FR274" i="1"/>
  <c r="GL274" i="1"/>
  <c r="GN274" i="1"/>
  <c r="GO274" i="1"/>
  <c r="GV274" i="1"/>
  <c r="HC274" i="1" s="1"/>
  <c r="GX274" i="1" s="1"/>
  <c r="D275" i="1"/>
  <c r="I275" i="1"/>
  <c r="K275" i="1"/>
  <c r="AC275" i="1"/>
  <c r="AE275" i="1"/>
  <c r="AF275" i="1"/>
  <c r="AG275" i="1"/>
  <c r="AH275" i="1"/>
  <c r="CV275" i="1" s="1"/>
  <c r="AI275" i="1"/>
  <c r="CW275" i="1" s="1"/>
  <c r="AJ275" i="1"/>
  <c r="CQ275" i="1"/>
  <c r="CR275" i="1"/>
  <c r="CS275" i="1"/>
  <c r="CU275" i="1"/>
  <c r="CX275" i="1"/>
  <c r="FR275" i="1"/>
  <c r="GL275" i="1"/>
  <c r="GN275" i="1"/>
  <c r="GO275" i="1"/>
  <c r="GV275" i="1"/>
  <c r="HC275" i="1"/>
  <c r="D276" i="1"/>
  <c r="I276" i="1"/>
  <c r="K276" i="1"/>
  <c r="AC276" i="1"/>
  <c r="CQ276" i="1" s="1"/>
  <c r="P276" i="1" s="1"/>
  <c r="AD276" i="1"/>
  <c r="AE276" i="1"/>
  <c r="AF276" i="1"/>
  <c r="AG276" i="1"/>
  <c r="AH276" i="1"/>
  <c r="AI276" i="1"/>
  <c r="AJ276" i="1"/>
  <c r="CX276" i="1" s="1"/>
  <c r="CU276" i="1"/>
  <c r="CV276" i="1"/>
  <c r="CW276" i="1"/>
  <c r="FR276" i="1"/>
  <c r="GL276" i="1"/>
  <c r="GN276" i="1"/>
  <c r="GO276" i="1"/>
  <c r="GV276" i="1"/>
  <c r="HC276" i="1" s="1"/>
  <c r="D277" i="1"/>
  <c r="I277" i="1"/>
  <c r="K277" i="1"/>
  <c r="AC277" i="1"/>
  <c r="CQ277" i="1" s="1"/>
  <c r="AE277" i="1"/>
  <c r="AF277" i="1"/>
  <c r="AG277" i="1"/>
  <c r="CU277" i="1" s="1"/>
  <c r="AH277" i="1"/>
  <c r="CV277" i="1" s="1"/>
  <c r="AI277" i="1"/>
  <c r="CW277" i="1" s="1"/>
  <c r="AJ277" i="1"/>
  <c r="CX277" i="1" s="1"/>
  <c r="FR277" i="1"/>
  <c r="GL277" i="1"/>
  <c r="GN277" i="1"/>
  <c r="GO277" i="1"/>
  <c r="GV277" i="1"/>
  <c r="HC277" i="1" s="1"/>
  <c r="GX277" i="1" s="1"/>
  <c r="D278" i="1"/>
  <c r="I278" i="1"/>
  <c r="K278" i="1"/>
  <c r="W278" i="1"/>
  <c r="AC278" i="1"/>
  <c r="AE278" i="1"/>
  <c r="AF278" i="1"/>
  <c r="AG278" i="1"/>
  <c r="CU278" i="1" s="1"/>
  <c r="T278" i="1" s="1"/>
  <c r="AH278" i="1"/>
  <c r="CV278" i="1" s="1"/>
  <c r="U278" i="1" s="1"/>
  <c r="AI278" i="1"/>
  <c r="CW278" i="1" s="1"/>
  <c r="V278" i="1" s="1"/>
  <c r="AJ278" i="1"/>
  <c r="CX278" i="1" s="1"/>
  <c r="FR278" i="1"/>
  <c r="GL278" i="1"/>
  <c r="GN278" i="1"/>
  <c r="GO278" i="1"/>
  <c r="GV278" i="1"/>
  <c r="HC278" i="1" s="1"/>
  <c r="GX278" i="1" s="1"/>
  <c r="D279" i="1"/>
  <c r="I279" i="1"/>
  <c r="K279" i="1"/>
  <c r="AC279" i="1"/>
  <c r="AE279" i="1"/>
  <c r="AD279" i="1" s="1"/>
  <c r="AF279" i="1"/>
  <c r="CT279" i="1" s="1"/>
  <c r="S279" i="1" s="1"/>
  <c r="AG279" i="1"/>
  <c r="CU279" i="1" s="1"/>
  <c r="T279" i="1" s="1"/>
  <c r="AH279" i="1"/>
  <c r="CV279" i="1" s="1"/>
  <c r="U279" i="1" s="1"/>
  <c r="AI279" i="1"/>
  <c r="CW279" i="1" s="1"/>
  <c r="V279" i="1" s="1"/>
  <c r="AJ279" i="1"/>
  <c r="CR279" i="1"/>
  <c r="CS279" i="1"/>
  <c r="CX279" i="1"/>
  <c r="FR279" i="1"/>
  <c r="GL279" i="1"/>
  <c r="GN279" i="1"/>
  <c r="GO279" i="1"/>
  <c r="GV279" i="1"/>
  <c r="HC279" i="1"/>
  <c r="D280" i="1"/>
  <c r="I280" i="1"/>
  <c r="K280" i="1"/>
  <c r="AC280" i="1"/>
  <c r="CQ280" i="1" s="1"/>
  <c r="AE280" i="1"/>
  <c r="AF280" i="1"/>
  <c r="AG280" i="1"/>
  <c r="CU280" i="1" s="1"/>
  <c r="AH280" i="1"/>
  <c r="AI280" i="1"/>
  <c r="CW280" i="1" s="1"/>
  <c r="AJ280" i="1"/>
  <c r="CV280" i="1"/>
  <c r="CX280" i="1"/>
  <c r="FR280" i="1"/>
  <c r="GL280" i="1"/>
  <c r="GN280" i="1"/>
  <c r="GO280" i="1"/>
  <c r="GV280" i="1"/>
  <c r="HC280" i="1" s="1"/>
  <c r="D281" i="1"/>
  <c r="I281" i="1"/>
  <c r="GX281" i="1" s="1"/>
  <c r="K281" i="1"/>
  <c r="AC281" i="1"/>
  <c r="CQ281" i="1" s="1"/>
  <c r="P281" i="1" s="1"/>
  <c r="AD281" i="1"/>
  <c r="AE281" i="1"/>
  <c r="AF281" i="1"/>
  <c r="CT281" i="1" s="1"/>
  <c r="S281" i="1" s="1"/>
  <c r="CY281" i="1" s="1"/>
  <c r="X281" i="1" s="1"/>
  <c r="AG281" i="1"/>
  <c r="CU281" i="1" s="1"/>
  <c r="AH281" i="1"/>
  <c r="CV281" i="1" s="1"/>
  <c r="AI281" i="1"/>
  <c r="CW281" i="1" s="1"/>
  <c r="V281" i="1" s="1"/>
  <c r="AJ281" i="1"/>
  <c r="CX281" i="1" s="1"/>
  <c r="FR281" i="1"/>
  <c r="GL281" i="1"/>
  <c r="GN281" i="1"/>
  <c r="GO281" i="1"/>
  <c r="GV281" i="1"/>
  <c r="HC281" i="1" s="1"/>
  <c r="D282" i="1"/>
  <c r="I282" i="1"/>
  <c r="K282" i="1"/>
  <c r="P282" i="1"/>
  <c r="CP282" i="1" s="1"/>
  <c r="O282" i="1" s="1"/>
  <c r="T282" i="1"/>
  <c r="AC282" i="1"/>
  <c r="CQ282" i="1" s="1"/>
  <c r="AE282" i="1"/>
  <c r="AD282" i="1" s="1"/>
  <c r="AF282" i="1"/>
  <c r="CT282" i="1" s="1"/>
  <c r="S282" i="1" s="1"/>
  <c r="AG282" i="1"/>
  <c r="CU282" i="1" s="1"/>
  <c r="AH282" i="1"/>
  <c r="CV282" i="1" s="1"/>
  <c r="U282" i="1" s="1"/>
  <c r="AI282" i="1"/>
  <c r="CW282" i="1" s="1"/>
  <c r="V282" i="1" s="1"/>
  <c r="AJ282" i="1"/>
  <c r="CX282" i="1" s="1"/>
  <c r="W282" i="1" s="1"/>
  <c r="CR282" i="1"/>
  <c r="Q282" i="1" s="1"/>
  <c r="CS282" i="1"/>
  <c r="R282" i="1" s="1"/>
  <c r="GK282" i="1" s="1"/>
  <c r="FR282" i="1"/>
  <c r="GL282" i="1"/>
  <c r="GN282" i="1"/>
  <c r="GO282" i="1"/>
  <c r="GV282" i="1"/>
  <c r="HC282" i="1" s="1"/>
  <c r="GX282" i="1" s="1"/>
  <c r="D283" i="1"/>
  <c r="I283" i="1"/>
  <c r="K283" i="1"/>
  <c r="W283" i="1"/>
  <c r="AC283" i="1"/>
  <c r="AE283" i="1"/>
  <c r="AD283" i="1" s="1"/>
  <c r="AF283" i="1"/>
  <c r="AG283" i="1"/>
  <c r="AH283" i="1"/>
  <c r="AI283" i="1"/>
  <c r="CW283" i="1" s="1"/>
  <c r="V283" i="1" s="1"/>
  <c r="AJ283" i="1"/>
  <c r="CQ283" i="1"/>
  <c r="P283" i="1" s="1"/>
  <c r="CR283" i="1"/>
  <c r="Q283" i="1" s="1"/>
  <c r="CT283" i="1"/>
  <c r="S283" i="1" s="1"/>
  <c r="CU283" i="1"/>
  <c r="T283" i="1" s="1"/>
  <c r="CV283" i="1"/>
  <c r="U283" i="1" s="1"/>
  <c r="CX283" i="1"/>
  <c r="FR283" i="1"/>
  <c r="GL283" i="1"/>
  <c r="GN283" i="1"/>
  <c r="GO283" i="1"/>
  <c r="GV283" i="1"/>
  <c r="HC283" i="1"/>
  <c r="GX283" i="1" s="1"/>
  <c r="D284" i="1"/>
  <c r="I284" i="1"/>
  <c r="K284" i="1"/>
  <c r="AC284" i="1"/>
  <c r="CQ284" i="1" s="1"/>
  <c r="AE284" i="1"/>
  <c r="AF284" i="1"/>
  <c r="CT284" i="1" s="1"/>
  <c r="S284" i="1" s="1"/>
  <c r="CY284" i="1" s="1"/>
  <c r="X284" i="1" s="1"/>
  <c r="AG284" i="1"/>
  <c r="CU284" i="1" s="1"/>
  <c r="T284" i="1" s="1"/>
  <c r="AH284" i="1"/>
  <c r="AI284" i="1"/>
  <c r="CW284" i="1" s="1"/>
  <c r="AJ284" i="1"/>
  <c r="CX284" i="1" s="1"/>
  <c r="CV284" i="1"/>
  <c r="FR284" i="1"/>
  <c r="GL284" i="1"/>
  <c r="GN284" i="1"/>
  <c r="GO284" i="1"/>
  <c r="GV284" i="1"/>
  <c r="HC284" i="1" s="1"/>
  <c r="D285" i="1"/>
  <c r="I285" i="1"/>
  <c r="K285" i="1"/>
  <c r="AC285" i="1"/>
  <c r="AD285" i="1"/>
  <c r="AE285" i="1"/>
  <c r="AF285" i="1"/>
  <c r="AG285" i="1"/>
  <c r="CU285" i="1" s="1"/>
  <c r="AH285" i="1"/>
  <c r="CV285" i="1" s="1"/>
  <c r="AI285" i="1"/>
  <c r="CW285" i="1" s="1"/>
  <c r="AJ285" i="1"/>
  <c r="CX285" i="1"/>
  <c r="FR285" i="1"/>
  <c r="BY292" i="1" s="1"/>
  <c r="GL285" i="1"/>
  <c r="GN285" i="1"/>
  <c r="GO285" i="1"/>
  <c r="GV285" i="1"/>
  <c r="HC285" i="1" s="1"/>
  <c r="D286" i="1"/>
  <c r="I286" i="1"/>
  <c r="K286" i="1"/>
  <c r="T286" i="1"/>
  <c r="W286" i="1"/>
  <c r="AC286" i="1"/>
  <c r="AE286" i="1"/>
  <c r="CS286" i="1" s="1"/>
  <c r="AF286" i="1"/>
  <c r="AG286" i="1"/>
  <c r="CU286" i="1" s="1"/>
  <c r="AH286" i="1"/>
  <c r="CV286" i="1" s="1"/>
  <c r="U286" i="1" s="1"/>
  <c r="AI286" i="1"/>
  <c r="CW286" i="1" s="1"/>
  <c r="V286" i="1" s="1"/>
  <c r="AJ286" i="1"/>
  <c r="CX286" i="1" s="1"/>
  <c r="CQ286" i="1"/>
  <c r="P286" i="1" s="1"/>
  <c r="CR286" i="1"/>
  <c r="Q286" i="1" s="1"/>
  <c r="CT286" i="1"/>
  <c r="S286" i="1" s="1"/>
  <c r="FR286" i="1"/>
  <c r="GL286" i="1"/>
  <c r="GN286" i="1"/>
  <c r="GO286" i="1"/>
  <c r="GV286" i="1"/>
  <c r="HC286" i="1" s="1"/>
  <c r="GX286" i="1" s="1"/>
  <c r="D287" i="1"/>
  <c r="I287" i="1"/>
  <c r="K287" i="1"/>
  <c r="AC287" i="1"/>
  <c r="CQ287" i="1" s="1"/>
  <c r="P287" i="1" s="1"/>
  <c r="AE287" i="1"/>
  <c r="CS287" i="1" s="1"/>
  <c r="AF287" i="1"/>
  <c r="AG287" i="1"/>
  <c r="CU287" i="1" s="1"/>
  <c r="T287" i="1" s="1"/>
  <c r="AH287" i="1"/>
  <c r="AI287" i="1"/>
  <c r="CW287" i="1" s="1"/>
  <c r="V287" i="1" s="1"/>
  <c r="AJ287" i="1"/>
  <c r="CR287" i="1"/>
  <c r="Q287" i="1" s="1"/>
  <c r="CT287" i="1"/>
  <c r="S287" i="1" s="1"/>
  <c r="CV287" i="1"/>
  <c r="U287" i="1" s="1"/>
  <c r="CX287" i="1"/>
  <c r="W287" i="1" s="1"/>
  <c r="FR287" i="1"/>
  <c r="GL287" i="1"/>
  <c r="GN287" i="1"/>
  <c r="GO287" i="1"/>
  <c r="GV287" i="1"/>
  <c r="HC287" i="1" s="1"/>
  <c r="GX287" i="1"/>
  <c r="D288" i="1"/>
  <c r="I288" i="1"/>
  <c r="K288" i="1"/>
  <c r="AC288" i="1"/>
  <c r="CQ288" i="1" s="1"/>
  <c r="AE288" i="1"/>
  <c r="AF288" i="1"/>
  <c r="CT288" i="1" s="1"/>
  <c r="AG288" i="1"/>
  <c r="AH288" i="1"/>
  <c r="AI288" i="1"/>
  <c r="AJ288" i="1"/>
  <c r="CX288" i="1" s="1"/>
  <c r="W288" i="1" s="1"/>
  <c r="CU288" i="1"/>
  <c r="CV288" i="1"/>
  <c r="CW288" i="1"/>
  <c r="FR288" i="1"/>
  <c r="GL288" i="1"/>
  <c r="GN288" i="1"/>
  <c r="GO288" i="1"/>
  <c r="GV288" i="1"/>
  <c r="HC288" i="1"/>
  <c r="D289" i="1"/>
  <c r="I289" i="1"/>
  <c r="K289" i="1"/>
  <c r="P289" i="1"/>
  <c r="AC289" i="1"/>
  <c r="CQ289" i="1" s="1"/>
  <c r="AE289" i="1"/>
  <c r="AF289" i="1"/>
  <c r="CT289" i="1" s="1"/>
  <c r="S289" i="1" s="1"/>
  <c r="CY289" i="1" s="1"/>
  <c r="X289" i="1" s="1"/>
  <c r="AG289" i="1"/>
  <c r="CU289" i="1" s="1"/>
  <c r="AH289" i="1"/>
  <c r="AI289" i="1"/>
  <c r="CW289" i="1" s="1"/>
  <c r="V289" i="1" s="1"/>
  <c r="AJ289" i="1"/>
  <c r="CV289" i="1"/>
  <c r="CX289" i="1"/>
  <c r="W289" i="1" s="1"/>
  <c r="FR289" i="1"/>
  <c r="GL289" i="1"/>
  <c r="GN289" i="1"/>
  <c r="GO289" i="1"/>
  <c r="GV289" i="1"/>
  <c r="HC289" i="1" s="1"/>
  <c r="D290" i="1"/>
  <c r="I290" i="1"/>
  <c r="K290" i="1"/>
  <c r="P290" i="1"/>
  <c r="T290" i="1"/>
  <c r="AC290" i="1"/>
  <c r="AE290" i="1"/>
  <c r="AD290" i="1" s="1"/>
  <c r="AF290" i="1"/>
  <c r="CT290" i="1" s="1"/>
  <c r="S290" i="1" s="1"/>
  <c r="AG290" i="1"/>
  <c r="CU290" i="1" s="1"/>
  <c r="AH290" i="1"/>
  <c r="CV290" i="1" s="1"/>
  <c r="U290" i="1" s="1"/>
  <c r="AI290" i="1"/>
  <c r="CW290" i="1" s="1"/>
  <c r="V290" i="1" s="1"/>
  <c r="AJ290" i="1"/>
  <c r="CX290" i="1" s="1"/>
  <c r="CQ290" i="1"/>
  <c r="CS290" i="1"/>
  <c r="R290" i="1" s="1"/>
  <c r="GK290" i="1" s="1"/>
  <c r="FR290" i="1"/>
  <c r="GL290" i="1"/>
  <c r="GN290" i="1"/>
  <c r="GO290" i="1"/>
  <c r="GV290" i="1"/>
  <c r="HC290" i="1"/>
  <c r="GX290" i="1" s="1"/>
  <c r="B292" i="1"/>
  <c r="B267" i="1" s="1"/>
  <c r="C292" i="1"/>
  <c r="C267" i="1" s="1"/>
  <c r="D292" i="1"/>
  <c r="D267" i="1" s="1"/>
  <c r="F292" i="1"/>
  <c r="F267" i="1" s="1"/>
  <c r="G292" i="1"/>
  <c r="BB292" i="1"/>
  <c r="BX292" i="1"/>
  <c r="CK292" i="1"/>
  <c r="CK267" i="1" s="1"/>
  <c r="CL292" i="1"/>
  <c r="CM292" i="1"/>
  <c r="CM267" i="1" s="1"/>
  <c r="D322" i="1"/>
  <c r="E324" i="1"/>
  <c r="Z324" i="1"/>
  <c r="AA324" i="1"/>
  <c r="AM324" i="1"/>
  <c r="AN324" i="1"/>
  <c r="BE324" i="1"/>
  <c r="BF324" i="1"/>
  <c r="BG324" i="1"/>
  <c r="BH324" i="1"/>
  <c r="BI324" i="1"/>
  <c r="BJ324" i="1"/>
  <c r="BK324" i="1"/>
  <c r="BL324" i="1"/>
  <c r="BM324" i="1"/>
  <c r="BN324" i="1"/>
  <c r="BO324" i="1"/>
  <c r="BP324" i="1"/>
  <c r="BQ324" i="1"/>
  <c r="BR324" i="1"/>
  <c r="BS324" i="1"/>
  <c r="BT324" i="1"/>
  <c r="BU324" i="1"/>
  <c r="BV324" i="1"/>
  <c r="BW324" i="1"/>
  <c r="CN324" i="1"/>
  <c r="CO324" i="1"/>
  <c r="CP324" i="1"/>
  <c r="CQ324" i="1"/>
  <c r="CR324" i="1"/>
  <c r="CS324" i="1"/>
  <c r="CT324" i="1"/>
  <c r="CU324" i="1"/>
  <c r="CV324" i="1"/>
  <c r="CW324" i="1"/>
  <c r="CX324" i="1"/>
  <c r="CY324" i="1"/>
  <c r="CZ324" i="1"/>
  <c r="DA324" i="1"/>
  <c r="DB324" i="1"/>
  <c r="DC324" i="1"/>
  <c r="DD324" i="1"/>
  <c r="DE324" i="1"/>
  <c r="DF324" i="1"/>
  <c r="DG324" i="1"/>
  <c r="DH324" i="1"/>
  <c r="DI324" i="1"/>
  <c r="DJ324" i="1"/>
  <c r="DK324" i="1"/>
  <c r="DL324" i="1"/>
  <c r="DM324" i="1"/>
  <c r="DN324" i="1"/>
  <c r="DO324" i="1"/>
  <c r="DP324" i="1"/>
  <c r="DQ324" i="1"/>
  <c r="DR324" i="1"/>
  <c r="DS324" i="1"/>
  <c r="DT324" i="1"/>
  <c r="DU324" i="1"/>
  <c r="DV324" i="1"/>
  <c r="DW324" i="1"/>
  <c r="DX324" i="1"/>
  <c r="DY324" i="1"/>
  <c r="DZ324" i="1"/>
  <c r="EA324" i="1"/>
  <c r="EB324" i="1"/>
  <c r="EC324" i="1"/>
  <c r="ED324" i="1"/>
  <c r="EE324" i="1"/>
  <c r="EF324" i="1"/>
  <c r="EG324" i="1"/>
  <c r="EH324" i="1"/>
  <c r="EI324" i="1"/>
  <c r="EJ324" i="1"/>
  <c r="EK324" i="1"/>
  <c r="EL324" i="1"/>
  <c r="EM324" i="1"/>
  <c r="EN324" i="1"/>
  <c r="EO324" i="1"/>
  <c r="EP324" i="1"/>
  <c r="EQ324" i="1"/>
  <c r="ER324" i="1"/>
  <c r="ES324" i="1"/>
  <c r="ET324" i="1"/>
  <c r="EU324" i="1"/>
  <c r="EV324" i="1"/>
  <c r="EW324" i="1"/>
  <c r="EX324" i="1"/>
  <c r="EY324" i="1"/>
  <c r="EZ324" i="1"/>
  <c r="FA324" i="1"/>
  <c r="FB324" i="1"/>
  <c r="FC324" i="1"/>
  <c r="FD324" i="1"/>
  <c r="FE324" i="1"/>
  <c r="FF324" i="1"/>
  <c r="FG324" i="1"/>
  <c r="FH324" i="1"/>
  <c r="FI324" i="1"/>
  <c r="FJ324" i="1"/>
  <c r="FK324" i="1"/>
  <c r="FL324" i="1"/>
  <c r="FM324" i="1"/>
  <c r="FN324" i="1"/>
  <c r="FO324" i="1"/>
  <c r="FP324" i="1"/>
  <c r="FQ324" i="1"/>
  <c r="FR324" i="1"/>
  <c r="FS324" i="1"/>
  <c r="FT324" i="1"/>
  <c r="FU324" i="1"/>
  <c r="FV324" i="1"/>
  <c r="FW324" i="1"/>
  <c r="FX324" i="1"/>
  <c r="FY324" i="1"/>
  <c r="FZ324" i="1"/>
  <c r="GA324" i="1"/>
  <c r="GB324" i="1"/>
  <c r="GC324" i="1"/>
  <c r="GD324" i="1"/>
  <c r="GE324" i="1"/>
  <c r="GF324" i="1"/>
  <c r="GG324" i="1"/>
  <c r="GH324" i="1"/>
  <c r="GI324" i="1"/>
  <c r="GJ324" i="1"/>
  <c r="GK324" i="1"/>
  <c r="GL324" i="1"/>
  <c r="GM324" i="1"/>
  <c r="GN324" i="1"/>
  <c r="GO324" i="1"/>
  <c r="GP324" i="1"/>
  <c r="GQ324" i="1"/>
  <c r="GR324" i="1"/>
  <c r="GS324" i="1"/>
  <c r="GT324" i="1"/>
  <c r="GU324" i="1"/>
  <c r="GV324" i="1"/>
  <c r="GW324" i="1"/>
  <c r="GX324" i="1"/>
  <c r="D326" i="1"/>
  <c r="I326" i="1"/>
  <c r="K326" i="1"/>
  <c r="AC326" i="1"/>
  <c r="AD326" i="1"/>
  <c r="AE326" i="1"/>
  <c r="AF326" i="1"/>
  <c r="CT326" i="1" s="1"/>
  <c r="AG326" i="1"/>
  <c r="CU326" i="1" s="1"/>
  <c r="AH326" i="1"/>
  <c r="CV326" i="1" s="1"/>
  <c r="AI326" i="1"/>
  <c r="CW326" i="1" s="1"/>
  <c r="AJ326" i="1"/>
  <c r="CX326" i="1" s="1"/>
  <c r="FR326" i="1"/>
  <c r="GL326" i="1"/>
  <c r="GN326" i="1"/>
  <c r="GO326" i="1"/>
  <c r="GV326" i="1"/>
  <c r="HC326" i="1" s="1"/>
  <c r="D327" i="1"/>
  <c r="I327" i="1"/>
  <c r="K327" i="1"/>
  <c r="V327" i="1"/>
  <c r="AI330" i="1" s="1"/>
  <c r="AI324" i="1" s="1"/>
  <c r="AC327" i="1"/>
  <c r="CQ327" i="1" s="1"/>
  <c r="P327" i="1" s="1"/>
  <c r="AE327" i="1"/>
  <c r="AF327" i="1"/>
  <c r="AG327" i="1"/>
  <c r="CU327" i="1" s="1"/>
  <c r="AH327" i="1"/>
  <c r="CV327" i="1" s="1"/>
  <c r="U327" i="1" s="1"/>
  <c r="AI327" i="1"/>
  <c r="CW327" i="1" s="1"/>
  <c r="AJ327" i="1"/>
  <c r="CX327" i="1" s="1"/>
  <c r="FR327" i="1"/>
  <c r="GL327" i="1"/>
  <c r="GN327" i="1"/>
  <c r="GO327" i="1"/>
  <c r="CC330" i="1" s="1"/>
  <c r="GV327" i="1"/>
  <c r="HC327" i="1" s="1"/>
  <c r="GX327" i="1"/>
  <c r="CJ330" i="1" s="1"/>
  <c r="D328" i="1"/>
  <c r="I328" i="1"/>
  <c r="K328" i="1"/>
  <c r="AC328" i="1"/>
  <c r="AE328" i="1"/>
  <c r="AD328" i="1" s="1"/>
  <c r="AF328" i="1"/>
  <c r="CT328" i="1" s="1"/>
  <c r="AG328" i="1"/>
  <c r="CU328" i="1" s="1"/>
  <c r="AH328" i="1"/>
  <c r="AI328" i="1"/>
  <c r="CW328" i="1" s="1"/>
  <c r="AJ328" i="1"/>
  <c r="CX328" i="1" s="1"/>
  <c r="CQ328" i="1"/>
  <c r="CR328" i="1"/>
  <c r="CS328" i="1"/>
  <c r="CV328" i="1"/>
  <c r="FR328" i="1"/>
  <c r="GL328" i="1"/>
  <c r="GN328" i="1"/>
  <c r="GO328" i="1"/>
  <c r="GV328" i="1"/>
  <c r="HC328" i="1" s="1"/>
  <c r="B330" i="1"/>
  <c r="B324" i="1" s="1"/>
  <c r="C330" i="1"/>
  <c r="C324" i="1" s="1"/>
  <c r="D330" i="1"/>
  <c r="D324" i="1" s="1"/>
  <c r="F330" i="1"/>
  <c r="F324" i="1" s="1"/>
  <c r="G330" i="1"/>
  <c r="V330" i="1"/>
  <c r="V324" i="1" s="1"/>
  <c r="BX330" i="1"/>
  <c r="BY330" i="1"/>
  <c r="BZ330" i="1"/>
  <c r="AQ330" i="1" s="1"/>
  <c r="CB330" i="1"/>
  <c r="CB324" i="1" s="1"/>
  <c r="CK330" i="1"/>
  <c r="CK324" i="1" s="1"/>
  <c r="CL330" i="1"/>
  <c r="CL324" i="1" s="1"/>
  <c r="CM330" i="1"/>
  <c r="CM324" i="1" s="1"/>
  <c r="F353" i="1"/>
  <c r="D360" i="1"/>
  <c r="E362" i="1"/>
  <c r="F362" i="1"/>
  <c r="Z362" i="1"/>
  <c r="AA362" i="1"/>
  <c r="AM362" i="1"/>
  <c r="AN362" i="1"/>
  <c r="BE362" i="1"/>
  <c r="BF362" i="1"/>
  <c r="BG362" i="1"/>
  <c r="BH362" i="1"/>
  <c r="BI362" i="1"/>
  <c r="BJ362" i="1"/>
  <c r="BK362" i="1"/>
  <c r="BL362" i="1"/>
  <c r="BM362" i="1"/>
  <c r="BN362" i="1"/>
  <c r="BO362" i="1"/>
  <c r="BP362" i="1"/>
  <c r="BQ362" i="1"/>
  <c r="BR362" i="1"/>
  <c r="BS362" i="1"/>
  <c r="BT362" i="1"/>
  <c r="BU362" i="1"/>
  <c r="BV362" i="1"/>
  <c r="BW362" i="1"/>
  <c r="CN362" i="1"/>
  <c r="CO362" i="1"/>
  <c r="CP362" i="1"/>
  <c r="CQ362" i="1"/>
  <c r="CR362" i="1"/>
  <c r="CS362" i="1"/>
  <c r="CT362" i="1"/>
  <c r="CU362" i="1"/>
  <c r="CV362" i="1"/>
  <c r="CW362" i="1"/>
  <c r="CX362" i="1"/>
  <c r="CY362" i="1"/>
  <c r="CZ362" i="1"/>
  <c r="DA362" i="1"/>
  <c r="DB362" i="1"/>
  <c r="DC362" i="1"/>
  <c r="DD362" i="1"/>
  <c r="DE362" i="1"/>
  <c r="DF362" i="1"/>
  <c r="DG362" i="1"/>
  <c r="DH362" i="1"/>
  <c r="DI362" i="1"/>
  <c r="DJ362" i="1"/>
  <c r="DK362" i="1"/>
  <c r="DL362" i="1"/>
  <c r="DM362" i="1"/>
  <c r="DN362" i="1"/>
  <c r="DO362" i="1"/>
  <c r="DP362" i="1"/>
  <c r="DQ362" i="1"/>
  <c r="DR362" i="1"/>
  <c r="DS362" i="1"/>
  <c r="DT362" i="1"/>
  <c r="DU362" i="1"/>
  <c r="DV362" i="1"/>
  <c r="DW362" i="1"/>
  <c r="DX362" i="1"/>
  <c r="DY362" i="1"/>
  <c r="DZ362" i="1"/>
  <c r="EA362" i="1"/>
  <c r="EB362" i="1"/>
  <c r="EC362" i="1"/>
  <c r="ED362" i="1"/>
  <c r="EE362" i="1"/>
  <c r="EF362" i="1"/>
  <c r="EG362" i="1"/>
  <c r="EH362" i="1"/>
  <c r="EI362" i="1"/>
  <c r="EJ362" i="1"/>
  <c r="EK362" i="1"/>
  <c r="EL362" i="1"/>
  <c r="EM362" i="1"/>
  <c r="EN362" i="1"/>
  <c r="EO362" i="1"/>
  <c r="EP362" i="1"/>
  <c r="EQ362" i="1"/>
  <c r="ER362" i="1"/>
  <c r="ES362" i="1"/>
  <c r="ET362" i="1"/>
  <c r="EU362" i="1"/>
  <c r="EV362" i="1"/>
  <c r="EW362" i="1"/>
  <c r="EX362" i="1"/>
  <c r="EY362" i="1"/>
  <c r="EZ362" i="1"/>
  <c r="FA362" i="1"/>
  <c r="FB362" i="1"/>
  <c r="FC362" i="1"/>
  <c r="FD362" i="1"/>
  <c r="FE362" i="1"/>
  <c r="FF362" i="1"/>
  <c r="FG362" i="1"/>
  <c r="FH362" i="1"/>
  <c r="FI362" i="1"/>
  <c r="FJ362" i="1"/>
  <c r="FK362" i="1"/>
  <c r="FL362" i="1"/>
  <c r="FM362" i="1"/>
  <c r="FN362" i="1"/>
  <c r="FO362" i="1"/>
  <c r="FP362" i="1"/>
  <c r="FQ362" i="1"/>
  <c r="FR362" i="1"/>
  <c r="FS362" i="1"/>
  <c r="FT362" i="1"/>
  <c r="FU362" i="1"/>
  <c r="FV362" i="1"/>
  <c r="FW362" i="1"/>
  <c r="FX362" i="1"/>
  <c r="FY362" i="1"/>
  <c r="FZ362" i="1"/>
  <c r="GA362" i="1"/>
  <c r="GB362" i="1"/>
  <c r="GC362" i="1"/>
  <c r="GD362" i="1"/>
  <c r="GE362" i="1"/>
  <c r="GF362" i="1"/>
  <c r="GG362" i="1"/>
  <c r="GH362" i="1"/>
  <c r="GI362" i="1"/>
  <c r="GJ362" i="1"/>
  <c r="GK362" i="1"/>
  <c r="GL362" i="1"/>
  <c r="GM362" i="1"/>
  <c r="GN362" i="1"/>
  <c r="GO362" i="1"/>
  <c r="GP362" i="1"/>
  <c r="GQ362" i="1"/>
  <c r="GR362" i="1"/>
  <c r="GS362" i="1"/>
  <c r="GT362" i="1"/>
  <c r="GU362" i="1"/>
  <c r="GV362" i="1"/>
  <c r="GW362" i="1"/>
  <c r="GX362" i="1"/>
  <c r="D364" i="1"/>
  <c r="I364" i="1"/>
  <c r="K364" i="1"/>
  <c r="AC364" i="1"/>
  <c r="CQ364" i="1" s="1"/>
  <c r="AE364" i="1"/>
  <c r="AF364" i="1"/>
  <c r="CT364" i="1" s="1"/>
  <c r="AG364" i="1"/>
  <c r="CU364" i="1" s="1"/>
  <c r="T364" i="1" s="1"/>
  <c r="AH364" i="1"/>
  <c r="CV364" i="1" s="1"/>
  <c r="U364" i="1" s="1"/>
  <c r="AI364" i="1"/>
  <c r="CW364" i="1" s="1"/>
  <c r="V364" i="1" s="1"/>
  <c r="AJ364" i="1"/>
  <c r="CX364" i="1"/>
  <c r="FR364" i="1"/>
  <c r="GL364" i="1"/>
  <c r="GN364" i="1"/>
  <c r="GO364" i="1"/>
  <c r="GV364" i="1"/>
  <c r="HC364" i="1" s="1"/>
  <c r="GX364" i="1" s="1"/>
  <c r="D365" i="1"/>
  <c r="I365" i="1"/>
  <c r="K365" i="1"/>
  <c r="AC365" i="1"/>
  <c r="AD365" i="1"/>
  <c r="AE365" i="1"/>
  <c r="AF365" i="1"/>
  <c r="AG365" i="1"/>
  <c r="CU365" i="1" s="1"/>
  <c r="AH365" i="1"/>
  <c r="CV365" i="1" s="1"/>
  <c r="AI365" i="1"/>
  <c r="CW365" i="1" s="1"/>
  <c r="V365" i="1" s="1"/>
  <c r="AJ365" i="1"/>
  <c r="CX365" i="1" s="1"/>
  <c r="CQ365" i="1"/>
  <c r="P365" i="1" s="1"/>
  <c r="CR365" i="1"/>
  <c r="Q365" i="1" s="1"/>
  <c r="FR365" i="1"/>
  <c r="BY374" i="1" s="1"/>
  <c r="GL365" i="1"/>
  <c r="GN365" i="1"/>
  <c r="GO365" i="1"/>
  <c r="GV365" i="1"/>
  <c r="HC365" i="1" s="1"/>
  <c r="D366" i="1"/>
  <c r="I366" i="1"/>
  <c r="K366" i="1"/>
  <c r="V366" i="1"/>
  <c r="W366" i="1"/>
  <c r="AC366" i="1"/>
  <c r="CQ366" i="1" s="1"/>
  <c r="P366" i="1" s="1"/>
  <c r="AE366" i="1"/>
  <c r="AF366" i="1"/>
  <c r="AG366" i="1"/>
  <c r="AH366" i="1"/>
  <c r="AI366" i="1"/>
  <c r="CW366" i="1" s="1"/>
  <c r="AJ366" i="1"/>
  <c r="CX366" i="1" s="1"/>
  <c r="CT366" i="1"/>
  <c r="S366" i="1" s="1"/>
  <c r="CU366" i="1"/>
  <c r="T366" i="1" s="1"/>
  <c r="CV366" i="1"/>
  <c r="U366" i="1" s="1"/>
  <c r="FR366" i="1"/>
  <c r="GL366" i="1"/>
  <c r="GN366" i="1"/>
  <c r="GO366" i="1"/>
  <c r="GV366" i="1"/>
  <c r="HC366" i="1"/>
  <c r="GX366" i="1" s="1"/>
  <c r="D367" i="1"/>
  <c r="I367" i="1"/>
  <c r="K367" i="1"/>
  <c r="AC367" i="1"/>
  <c r="CQ367" i="1" s="1"/>
  <c r="P367" i="1" s="1"/>
  <c r="AE367" i="1"/>
  <c r="AF367" i="1"/>
  <c r="AG367" i="1"/>
  <c r="CU367" i="1" s="1"/>
  <c r="AH367" i="1"/>
  <c r="AI367" i="1"/>
  <c r="AJ367" i="1"/>
  <c r="CV367" i="1"/>
  <c r="CW367" i="1"/>
  <c r="V367" i="1" s="1"/>
  <c r="CX367" i="1"/>
  <c r="W367" i="1" s="1"/>
  <c r="FR367" i="1"/>
  <c r="GL367" i="1"/>
  <c r="BZ374" i="1" s="1"/>
  <c r="GN367" i="1"/>
  <c r="GO367" i="1"/>
  <c r="GV367" i="1"/>
  <c r="HC367" i="1"/>
  <c r="GX367" i="1" s="1"/>
  <c r="D368" i="1"/>
  <c r="I368" i="1"/>
  <c r="K368" i="1"/>
  <c r="AC368" i="1"/>
  <c r="CQ368" i="1" s="1"/>
  <c r="AE368" i="1"/>
  <c r="AF368" i="1"/>
  <c r="CT368" i="1" s="1"/>
  <c r="AG368" i="1"/>
  <c r="CU368" i="1" s="1"/>
  <c r="AH368" i="1"/>
  <c r="CV368" i="1" s="1"/>
  <c r="AI368" i="1"/>
  <c r="CW368" i="1" s="1"/>
  <c r="AJ368" i="1"/>
  <c r="CX368" i="1"/>
  <c r="FR368" i="1"/>
  <c r="GL368" i="1"/>
  <c r="GN368" i="1"/>
  <c r="GO368" i="1"/>
  <c r="GV368" i="1"/>
  <c r="HC368" i="1" s="1"/>
  <c r="GX368" i="1" s="1"/>
  <c r="D369" i="1"/>
  <c r="I369" i="1"/>
  <c r="K369" i="1"/>
  <c r="Q369" i="1"/>
  <c r="AC369" i="1"/>
  <c r="AE369" i="1"/>
  <c r="AF369" i="1"/>
  <c r="AG369" i="1"/>
  <c r="CU369" i="1" s="1"/>
  <c r="AH369" i="1"/>
  <c r="CV369" i="1" s="1"/>
  <c r="AI369" i="1"/>
  <c r="CW369" i="1" s="1"/>
  <c r="AJ369" i="1"/>
  <c r="CX369" i="1" s="1"/>
  <c r="W369" i="1" s="1"/>
  <c r="CQ369" i="1"/>
  <c r="CR369" i="1"/>
  <c r="FR369" i="1"/>
  <c r="GL369" i="1"/>
  <c r="GN369" i="1"/>
  <c r="GO369" i="1"/>
  <c r="GV369" i="1"/>
  <c r="HC369" i="1" s="1"/>
  <c r="D370" i="1"/>
  <c r="I370" i="1"/>
  <c r="W370" i="1" s="1"/>
  <c r="K370" i="1"/>
  <c r="AC370" i="1"/>
  <c r="CQ370" i="1" s="1"/>
  <c r="P370" i="1" s="1"/>
  <c r="AE370" i="1"/>
  <c r="AD370" i="1" s="1"/>
  <c r="AF370" i="1"/>
  <c r="CT370" i="1" s="1"/>
  <c r="S370" i="1" s="1"/>
  <c r="AG370" i="1"/>
  <c r="CU370" i="1" s="1"/>
  <c r="T370" i="1" s="1"/>
  <c r="AH370" i="1"/>
  <c r="CV370" i="1" s="1"/>
  <c r="U370" i="1" s="1"/>
  <c r="AI370" i="1"/>
  <c r="CW370" i="1" s="1"/>
  <c r="AJ370" i="1"/>
  <c r="CX370" i="1" s="1"/>
  <c r="CR370" i="1"/>
  <c r="CS370" i="1"/>
  <c r="R370" i="1" s="1"/>
  <c r="GK370" i="1" s="1"/>
  <c r="FR370" i="1"/>
  <c r="GL370" i="1"/>
  <c r="GN370" i="1"/>
  <c r="GO370" i="1"/>
  <c r="GV370" i="1"/>
  <c r="HC370" i="1" s="1"/>
  <c r="GX370" i="1" s="1"/>
  <c r="D371" i="1"/>
  <c r="AC371" i="1"/>
  <c r="CQ371" i="1" s="1"/>
  <c r="P371" i="1" s="1"/>
  <c r="AE371" i="1"/>
  <c r="AF371" i="1"/>
  <c r="CT371" i="1" s="1"/>
  <c r="S371" i="1" s="1"/>
  <c r="CY371" i="1" s="1"/>
  <c r="X371" i="1" s="1"/>
  <c r="AG371" i="1"/>
  <c r="AH371" i="1"/>
  <c r="CV371" i="1" s="1"/>
  <c r="U371" i="1" s="1"/>
  <c r="AI371" i="1"/>
  <c r="CW371" i="1" s="1"/>
  <c r="V371" i="1" s="1"/>
  <c r="AJ371" i="1"/>
  <c r="CX371" i="1" s="1"/>
  <c r="W371" i="1" s="1"/>
  <c r="CS371" i="1"/>
  <c r="R371" i="1" s="1"/>
  <c r="GK371" i="1" s="1"/>
  <c r="CU371" i="1"/>
  <c r="T371" i="1" s="1"/>
  <c r="FR371" i="1"/>
  <c r="GL371" i="1"/>
  <c r="GN371" i="1"/>
  <c r="GO371" i="1"/>
  <c r="GV371" i="1"/>
  <c r="HC371" i="1" s="1"/>
  <c r="GX371" i="1" s="1"/>
  <c r="D372" i="1"/>
  <c r="P372" i="1"/>
  <c r="CP372" i="1" s="1"/>
  <c r="O372" i="1" s="1"/>
  <c r="AC372" i="1"/>
  <c r="AE372" i="1"/>
  <c r="CS372" i="1" s="1"/>
  <c r="R372" i="1" s="1"/>
  <c r="GK372" i="1" s="1"/>
  <c r="AF372" i="1"/>
  <c r="CT372" i="1" s="1"/>
  <c r="S372" i="1" s="1"/>
  <c r="AG372" i="1"/>
  <c r="CU372" i="1" s="1"/>
  <c r="T372" i="1" s="1"/>
  <c r="AH372" i="1"/>
  <c r="CV372" i="1" s="1"/>
  <c r="U372" i="1" s="1"/>
  <c r="AI372" i="1"/>
  <c r="CW372" i="1" s="1"/>
  <c r="V372" i="1" s="1"/>
  <c r="AJ372" i="1"/>
  <c r="CX372" i="1" s="1"/>
  <c r="W372" i="1" s="1"/>
  <c r="CQ372" i="1"/>
  <c r="CR372" i="1"/>
  <c r="Q372" i="1" s="1"/>
  <c r="FR372" i="1"/>
  <c r="GL372" i="1"/>
  <c r="GN372" i="1"/>
  <c r="GO372" i="1"/>
  <c r="GV372" i="1"/>
  <c r="HC372" i="1" s="1"/>
  <c r="GX372" i="1" s="1"/>
  <c r="B374" i="1"/>
  <c r="B362" i="1" s="1"/>
  <c r="C374" i="1"/>
  <c r="C362" i="1" s="1"/>
  <c r="D374" i="1"/>
  <c r="D362" i="1" s="1"/>
  <c r="F374" i="1"/>
  <c r="G374" i="1"/>
  <c r="BC374" i="1"/>
  <c r="BC362" i="1" s="1"/>
  <c r="BD374" i="1"/>
  <c r="BX374" i="1"/>
  <c r="CK374" i="1"/>
  <c r="CL374" i="1"/>
  <c r="CL362" i="1" s="1"/>
  <c r="CM374" i="1"/>
  <c r="CM362" i="1" s="1"/>
  <c r="D404" i="1"/>
  <c r="E406" i="1"/>
  <c r="Z406" i="1"/>
  <c r="AA406" i="1"/>
  <c r="AM406" i="1"/>
  <c r="AN406" i="1"/>
  <c r="BE406" i="1"/>
  <c r="BF406" i="1"/>
  <c r="BG406" i="1"/>
  <c r="BH406" i="1"/>
  <c r="BI406" i="1"/>
  <c r="BJ406" i="1"/>
  <c r="BK406" i="1"/>
  <c r="BL406" i="1"/>
  <c r="BM406" i="1"/>
  <c r="BN406" i="1"/>
  <c r="BO406" i="1"/>
  <c r="BP406" i="1"/>
  <c r="BQ406" i="1"/>
  <c r="BR406" i="1"/>
  <c r="BS406" i="1"/>
  <c r="BT406" i="1"/>
  <c r="BU406" i="1"/>
  <c r="BV406" i="1"/>
  <c r="BW406" i="1"/>
  <c r="CN406" i="1"/>
  <c r="CO406" i="1"/>
  <c r="CP406" i="1"/>
  <c r="CQ406" i="1"/>
  <c r="CR406" i="1"/>
  <c r="CS406" i="1"/>
  <c r="CT406" i="1"/>
  <c r="CU406" i="1"/>
  <c r="CV406" i="1"/>
  <c r="CW406" i="1"/>
  <c r="CX406" i="1"/>
  <c r="CY406" i="1"/>
  <c r="CZ406" i="1"/>
  <c r="DA406" i="1"/>
  <c r="DB406" i="1"/>
  <c r="DC406" i="1"/>
  <c r="DD406" i="1"/>
  <c r="DE406" i="1"/>
  <c r="DF406" i="1"/>
  <c r="DG406" i="1"/>
  <c r="DH406" i="1"/>
  <c r="DI406" i="1"/>
  <c r="DJ406" i="1"/>
  <c r="DK406" i="1"/>
  <c r="DL406" i="1"/>
  <c r="DM406" i="1"/>
  <c r="DN406" i="1"/>
  <c r="DO406" i="1"/>
  <c r="DP406" i="1"/>
  <c r="DQ406" i="1"/>
  <c r="DR406" i="1"/>
  <c r="DS406" i="1"/>
  <c r="DT406" i="1"/>
  <c r="DU406" i="1"/>
  <c r="DV406" i="1"/>
  <c r="DW406" i="1"/>
  <c r="DX406" i="1"/>
  <c r="DY406" i="1"/>
  <c r="DZ406" i="1"/>
  <c r="EA406" i="1"/>
  <c r="EB406" i="1"/>
  <c r="EC406" i="1"/>
  <c r="ED406" i="1"/>
  <c r="EE406" i="1"/>
  <c r="EF406" i="1"/>
  <c r="EG406" i="1"/>
  <c r="EH406" i="1"/>
  <c r="EI406" i="1"/>
  <c r="EJ406" i="1"/>
  <c r="EK406" i="1"/>
  <c r="EL406" i="1"/>
  <c r="EM406" i="1"/>
  <c r="EN406" i="1"/>
  <c r="EO406" i="1"/>
  <c r="EP406" i="1"/>
  <c r="EQ406" i="1"/>
  <c r="ER406" i="1"/>
  <c r="ES406" i="1"/>
  <c r="ET406" i="1"/>
  <c r="EU406" i="1"/>
  <c r="EV406" i="1"/>
  <c r="EW406" i="1"/>
  <c r="EX406" i="1"/>
  <c r="EY406" i="1"/>
  <c r="EZ406" i="1"/>
  <c r="FA406" i="1"/>
  <c r="FB406" i="1"/>
  <c r="FC406" i="1"/>
  <c r="FD406" i="1"/>
  <c r="FE406" i="1"/>
  <c r="FF406" i="1"/>
  <c r="FG406" i="1"/>
  <c r="FH406" i="1"/>
  <c r="FI406" i="1"/>
  <c r="FJ406" i="1"/>
  <c r="FK406" i="1"/>
  <c r="FL406" i="1"/>
  <c r="FM406" i="1"/>
  <c r="FN406" i="1"/>
  <c r="FO406" i="1"/>
  <c r="FP406" i="1"/>
  <c r="FQ406" i="1"/>
  <c r="FR406" i="1"/>
  <c r="FS406" i="1"/>
  <c r="FT406" i="1"/>
  <c r="FU406" i="1"/>
  <c r="FV406" i="1"/>
  <c r="FW406" i="1"/>
  <c r="FX406" i="1"/>
  <c r="FY406" i="1"/>
  <c r="FZ406" i="1"/>
  <c r="GA406" i="1"/>
  <c r="GB406" i="1"/>
  <c r="GC406" i="1"/>
  <c r="GD406" i="1"/>
  <c r="GE406" i="1"/>
  <c r="GF406" i="1"/>
  <c r="GG406" i="1"/>
  <c r="GH406" i="1"/>
  <c r="GI406" i="1"/>
  <c r="GJ406" i="1"/>
  <c r="GK406" i="1"/>
  <c r="GL406" i="1"/>
  <c r="GM406" i="1"/>
  <c r="GN406" i="1"/>
  <c r="GO406" i="1"/>
  <c r="GP406" i="1"/>
  <c r="GQ406" i="1"/>
  <c r="GR406" i="1"/>
  <c r="GS406" i="1"/>
  <c r="GT406" i="1"/>
  <c r="GU406" i="1"/>
  <c r="GV406" i="1"/>
  <c r="GW406" i="1"/>
  <c r="GX406" i="1"/>
  <c r="D409" i="1"/>
  <c r="I409" i="1"/>
  <c r="K409" i="1"/>
  <c r="AC409" i="1"/>
  <c r="CQ409" i="1" s="1"/>
  <c r="AD409" i="1"/>
  <c r="AE409" i="1"/>
  <c r="AF409" i="1"/>
  <c r="AG409" i="1"/>
  <c r="AH409" i="1"/>
  <c r="AI409" i="1"/>
  <c r="AJ409" i="1"/>
  <c r="CX409" i="1" s="1"/>
  <c r="W409" i="1" s="1"/>
  <c r="CR409" i="1"/>
  <c r="CS409" i="1"/>
  <c r="CT409" i="1"/>
  <c r="CU409" i="1"/>
  <c r="CV409" i="1"/>
  <c r="CW409" i="1"/>
  <c r="FR409" i="1"/>
  <c r="GL409" i="1"/>
  <c r="GN409" i="1"/>
  <c r="GO409" i="1"/>
  <c r="GV409" i="1"/>
  <c r="HC409" i="1" s="1"/>
  <c r="GX409" i="1" s="1"/>
  <c r="D410" i="1"/>
  <c r="P410" i="1"/>
  <c r="Q410" i="1"/>
  <c r="AC410" i="1"/>
  <c r="CQ410" i="1" s="1"/>
  <c r="AE410" i="1"/>
  <c r="CR410" i="1" s="1"/>
  <c r="AF410" i="1"/>
  <c r="AG410" i="1"/>
  <c r="CU410" i="1" s="1"/>
  <c r="T410" i="1" s="1"/>
  <c r="AH410" i="1"/>
  <c r="AI410" i="1"/>
  <c r="AJ410" i="1"/>
  <c r="CS410" i="1"/>
  <c r="R410" i="1" s="1"/>
  <c r="GK410" i="1" s="1"/>
  <c r="CT410" i="1"/>
  <c r="S410" i="1" s="1"/>
  <c r="CY410" i="1" s="1"/>
  <c r="X410" i="1" s="1"/>
  <c r="CV410" i="1"/>
  <c r="U410" i="1" s="1"/>
  <c r="CW410" i="1"/>
  <c r="V410" i="1" s="1"/>
  <c r="CX410" i="1"/>
  <c r="W410" i="1" s="1"/>
  <c r="FR410" i="1"/>
  <c r="GL410" i="1"/>
  <c r="GN410" i="1"/>
  <c r="GO410" i="1"/>
  <c r="GV410" i="1"/>
  <c r="HC410" i="1"/>
  <c r="GX410" i="1" s="1"/>
  <c r="D411" i="1"/>
  <c r="I411" i="1"/>
  <c r="K411" i="1"/>
  <c r="P411" i="1"/>
  <c r="AC411" i="1"/>
  <c r="AE411" i="1"/>
  <c r="AD411" i="1" s="1"/>
  <c r="AF411" i="1"/>
  <c r="CT411" i="1" s="1"/>
  <c r="S411" i="1" s="1"/>
  <c r="AG411" i="1"/>
  <c r="CU411" i="1" s="1"/>
  <c r="AH411" i="1"/>
  <c r="CV411" i="1" s="1"/>
  <c r="AI411" i="1"/>
  <c r="CW411" i="1" s="1"/>
  <c r="V411" i="1" s="1"/>
  <c r="AJ411" i="1"/>
  <c r="CX411" i="1" s="1"/>
  <c r="CQ411" i="1"/>
  <c r="CR411" i="1"/>
  <c r="Q411" i="1" s="1"/>
  <c r="CS411" i="1"/>
  <c r="R411" i="1" s="1"/>
  <c r="GK411" i="1" s="1"/>
  <c r="FR411" i="1"/>
  <c r="GL411" i="1"/>
  <c r="GN411" i="1"/>
  <c r="GO411" i="1"/>
  <c r="GV411" i="1"/>
  <c r="HC411" i="1" s="1"/>
  <c r="D412" i="1"/>
  <c r="I412" i="1"/>
  <c r="K412" i="1"/>
  <c r="W412" i="1"/>
  <c r="AC412" i="1"/>
  <c r="AE412" i="1"/>
  <c r="AF412" i="1"/>
  <c r="AG412" i="1"/>
  <c r="CU412" i="1" s="1"/>
  <c r="AH412" i="1"/>
  <c r="CV412" i="1" s="1"/>
  <c r="AI412" i="1"/>
  <c r="CW412" i="1" s="1"/>
  <c r="AJ412" i="1"/>
  <c r="CX412" i="1" s="1"/>
  <c r="CQ412" i="1"/>
  <c r="CR412" i="1"/>
  <c r="CS412" i="1"/>
  <c r="FR412" i="1"/>
  <c r="GL412" i="1"/>
  <c r="GN412" i="1"/>
  <c r="GO412" i="1"/>
  <c r="GV412" i="1"/>
  <c r="HC412" i="1"/>
  <c r="D413" i="1"/>
  <c r="I413" i="1"/>
  <c r="K413" i="1"/>
  <c r="AC413" i="1"/>
  <c r="AE413" i="1"/>
  <c r="AF413" i="1"/>
  <c r="AG413" i="1"/>
  <c r="AH413" i="1"/>
  <c r="AI413" i="1"/>
  <c r="AJ413" i="1"/>
  <c r="CQ413" i="1"/>
  <c r="P413" i="1" s="1"/>
  <c r="CU413" i="1"/>
  <c r="T413" i="1" s="1"/>
  <c r="CV413" i="1"/>
  <c r="U413" i="1" s="1"/>
  <c r="CW413" i="1"/>
  <c r="V413" i="1" s="1"/>
  <c r="CX413" i="1"/>
  <c r="W413" i="1" s="1"/>
  <c r="FR413" i="1"/>
  <c r="GL413" i="1"/>
  <c r="GN413" i="1"/>
  <c r="GO413" i="1"/>
  <c r="GV413" i="1"/>
  <c r="HC413" i="1" s="1"/>
  <c r="GX413" i="1" s="1"/>
  <c r="D414" i="1"/>
  <c r="I414" i="1"/>
  <c r="P414" i="1" s="1"/>
  <c r="K414" i="1"/>
  <c r="AC414" i="1"/>
  <c r="CQ414" i="1" s="1"/>
  <c r="AE414" i="1"/>
  <c r="CS414" i="1" s="1"/>
  <c r="AF414" i="1"/>
  <c r="CT414" i="1" s="1"/>
  <c r="AG414" i="1"/>
  <c r="CU414" i="1" s="1"/>
  <c r="AH414" i="1"/>
  <c r="CV414" i="1" s="1"/>
  <c r="AI414" i="1"/>
  <c r="CW414" i="1" s="1"/>
  <c r="AJ414" i="1"/>
  <c r="CX414" i="1" s="1"/>
  <c r="FR414" i="1"/>
  <c r="GL414" i="1"/>
  <c r="GN414" i="1"/>
  <c r="GO414" i="1"/>
  <c r="GV414" i="1"/>
  <c r="HC414" i="1"/>
  <c r="GX414" i="1" s="1"/>
  <c r="D415" i="1"/>
  <c r="I415" i="1"/>
  <c r="K415" i="1"/>
  <c r="AC415" i="1"/>
  <c r="CQ415" i="1" s="1"/>
  <c r="P415" i="1" s="1"/>
  <c r="AE415" i="1"/>
  <c r="AF415" i="1"/>
  <c r="AG415" i="1"/>
  <c r="CU415" i="1" s="1"/>
  <c r="T415" i="1" s="1"/>
  <c r="AH415" i="1"/>
  <c r="CV415" i="1" s="1"/>
  <c r="U415" i="1" s="1"/>
  <c r="AI415" i="1"/>
  <c r="CW415" i="1" s="1"/>
  <c r="V415" i="1" s="1"/>
  <c r="AJ415" i="1"/>
  <c r="CX415" i="1"/>
  <c r="W415" i="1" s="1"/>
  <c r="FR415" i="1"/>
  <c r="GL415" i="1"/>
  <c r="GN415" i="1"/>
  <c r="GO415" i="1"/>
  <c r="GV415" i="1"/>
  <c r="HC415" i="1" s="1"/>
  <c r="GX415" i="1" s="1"/>
  <c r="D416" i="1"/>
  <c r="I416" i="1"/>
  <c r="K416" i="1"/>
  <c r="AC416" i="1"/>
  <c r="AE416" i="1"/>
  <c r="AD416" i="1" s="1"/>
  <c r="AB416" i="1" s="1"/>
  <c r="AF416" i="1"/>
  <c r="AG416" i="1"/>
  <c r="CU416" i="1" s="1"/>
  <c r="AH416" i="1"/>
  <c r="CV416" i="1" s="1"/>
  <c r="AI416" i="1"/>
  <c r="CW416" i="1" s="1"/>
  <c r="AJ416" i="1"/>
  <c r="CX416" i="1" s="1"/>
  <c r="CQ416" i="1"/>
  <c r="CR416" i="1"/>
  <c r="CS416" i="1"/>
  <c r="CT416" i="1"/>
  <c r="FR416" i="1"/>
  <c r="GL416" i="1"/>
  <c r="GN416" i="1"/>
  <c r="GO416" i="1"/>
  <c r="GV416" i="1"/>
  <c r="HC416" i="1" s="1"/>
  <c r="D417" i="1"/>
  <c r="I417" i="1"/>
  <c r="K417" i="1"/>
  <c r="AC417" i="1"/>
  <c r="AE417" i="1"/>
  <c r="AF417" i="1"/>
  <c r="AG417" i="1"/>
  <c r="AH417" i="1"/>
  <c r="CV417" i="1" s="1"/>
  <c r="AI417" i="1"/>
  <c r="AJ417" i="1"/>
  <c r="CX417" i="1" s="1"/>
  <c r="W417" i="1" s="1"/>
  <c r="CU417" i="1"/>
  <c r="CW417" i="1"/>
  <c r="FR417" i="1"/>
  <c r="GL417" i="1"/>
  <c r="GN417" i="1"/>
  <c r="GO417" i="1"/>
  <c r="GV417" i="1"/>
  <c r="HC417" i="1"/>
  <c r="D418" i="1"/>
  <c r="I418" i="1"/>
  <c r="K418" i="1"/>
  <c r="AC418" i="1"/>
  <c r="CQ418" i="1" s="1"/>
  <c r="P418" i="1" s="1"/>
  <c r="AE418" i="1"/>
  <c r="AF418" i="1"/>
  <c r="AG418" i="1"/>
  <c r="CU418" i="1" s="1"/>
  <c r="T418" i="1" s="1"/>
  <c r="AH418" i="1"/>
  <c r="AI418" i="1"/>
  <c r="CW418" i="1" s="1"/>
  <c r="V418" i="1" s="1"/>
  <c r="AJ418" i="1"/>
  <c r="CV418" i="1"/>
  <c r="U418" i="1" s="1"/>
  <c r="CX418" i="1"/>
  <c r="W418" i="1" s="1"/>
  <c r="FR418" i="1"/>
  <c r="GL418" i="1"/>
  <c r="GN418" i="1"/>
  <c r="GO418" i="1"/>
  <c r="GV418" i="1"/>
  <c r="HC418" i="1" s="1"/>
  <c r="GX418" i="1" s="1"/>
  <c r="D420" i="1"/>
  <c r="I420" i="1"/>
  <c r="K420" i="1"/>
  <c r="Q420" i="1"/>
  <c r="AC420" i="1"/>
  <c r="AE420" i="1"/>
  <c r="AF420" i="1"/>
  <c r="AG420" i="1"/>
  <c r="CU420" i="1" s="1"/>
  <c r="AH420" i="1"/>
  <c r="CV420" i="1" s="1"/>
  <c r="AI420" i="1"/>
  <c r="CW420" i="1" s="1"/>
  <c r="AJ420" i="1"/>
  <c r="CX420" i="1" s="1"/>
  <c r="CQ420" i="1"/>
  <c r="CR420" i="1"/>
  <c r="FR420" i="1"/>
  <c r="GL420" i="1"/>
  <c r="GN420" i="1"/>
  <c r="GO420" i="1"/>
  <c r="GV420" i="1"/>
  <c r="HC420" i="1" s="1"/>
  <c r="D421" i="1"/>
  <c r="I421" i="1"/>
  <c r="K421" i="1"/>
  <c r="AC421" i="1"/>
  <c r="CQ421" i="1" s="1"/>
  <c r="AE421" i="1"/>
  <c r="AF421" i="1"/>
  <c r="AG421" i="1"/>
  <c r="CU421" i="1" s="1"/>
  <c r="T421" i="1" s="1"/>
  <c r="AH421" i="1"/>
  <c r="CV421" i="1" s="1"/>
  <c r="U421" i="1" s="1"/>
  <c r="AI421" i="1"/>
  <c r="CW421" i="1" s="1"/>
  <c r="V421" i="1" s="1"/>
  <c r="AJ421" i="1"/>
  <c r="CS421" i="1"/>
  <c r="CT421" i="1"/>
  <c r="S421" i="1" s="1"/>
  <c r="CX421" i="1"/>
  <c r="W421" i="1" s="1"/>
  <c r="FR421" i="1"/>
  <c r="GL421" i="1"/>
  <c r="GN421" i="1"/>
  <c r="GO421" i="1"/>
  <c r="GV421" i="1"/>
  <c r="HC421" i="1" s="1"/>
  <c r="GX421" i="1" s="1"/>
  <c r="D422" i="1"/>
  <c r="I422" i="1"/>
  <c r="K422" i="1"/>
  <c r="AC422" i="1"/>
  <c r="CQ422" i="1" s="1"/>
  <c r="AE422" i="1"/>
  <c r="AF422" i="1"/>
  <c r="AG422" i="1"/>
  <c r="CU422" i="1" s="1"/>
  <c r="AH422" i="1"/>
  <c r="CV422" i="1" s="1"/>
  <c r="AI422" i="1"/>
  <c r="CW422" i="1" s="1"/>
  <c r="AJ422" i="1"/>
  <c r="CX422" i="1" s="1"/>
  <c r="W422" i="1" s="1"/>
  <c r="FR422" i="1"/>
  <c r="GL422" i="1"/>
  <c r="GN422" i="1"/>
  <c r="GO422" i="1"/>
  <c r="GV422" i="1"/>
  <c r="HC422" i="1" s="1"/>
  <c r="D424" i="1"/>
  <c r="I424" i="1"/>
  <c r="K424" i="1"/>
  <c r="AC424" i="1"/>
  <c r="CQ424" i="1" s="1"/>
  <c r="AE424" i="1"/>
  <c r="AF424" i="1"/>
  <c r="AG424" i="1"/>
  <c r="CU424" i="1" s="1"/>
  <c r="AH424" i="1"/>
  <c r="CV424" i="1" s="1"/>
  <c r="AI424" i="1"/>
  <c r="CW424" i="1" s="1"/>
  <c r="AJ424" i="1"/>
  <c r="CX424" i="1" s="1"/>
  <c r="CR424" i="1"/>
  <c r="CS424" i="1"/>
  <c r="FR424" i="1"/>
  <c r="GL424" i="1"/>
  <c r="GN424" i="1"/>
  <c r="GO424" i="1"/>
  <c r="GV424" i="1"/>
  <c r="HC424" i="1"/>
  <c r="D425" i="1"/>
  <c r="I425" i="1"/>
  <c r="K425" i="1"/>
  <c r="U425" i="1"/>
  <c r="AC425" i="1"/>
  <c r="CQ425" i="1" s="1"/>
  <c r="P425" i="1" s="1"/>
  <c r="AE425" i="1"/>
  <c r="AF425" i="1"/>
  <c r="CT425" i="1" s="1"/>
  <c r="S425" i="1" s="1"/>
  <c r="AG425" i="1"/>
  <c r="CU425" i="1" s="1"/>
  <c r="AH425" i="1"/>
  <c r="AI425" i="1"/>
  <c r="CW425" i="1" s="1"/>
  <c r="V425" i="1" s="1"/>
  <c r="AJ425" i="1"/>
  <c r="CV425" i="1"/>
  <c r="CX425" i="1"/>
  <c r="W425" i="1" s="1"/>
  <c r="FR425" i="1"/>
  <c r="GL425" i="1"/>
  <c r="GN425" i="1"/>
  <c r="GO425" i="1"/>
  <c r="GV425" i="1"/>
  <c r="HC425" i="1"/>
  <c r="GX425" i="1" s="1"/>
  <c r="D426" i="1"/>
  <c r="I426" i="1"/>
  <c r="K426" i="1"/>
  <c r="AC426" i="1"/>
  <c r="CQ426" i="1" s="1"/>
  <c r="P426" i="1" s="1"/>
  <c r="AE426" i="1"/>
  <c r="AF426" i="1"/>
  <c r="AG426" i="1"/>
  <c r="CU426" i="1" s="1"/>
  <c r="T426" i="1" s="1"/>
  <c r="AH426" i="1"/>
  <c r="CV426" i="1" s="1"/>
  <c r="AI426" i="1"/>
  <c r="CW426" i="1" s="1"/>
  <c r="AJ426" i="1"/>
  <c r="CX426" i="1" s="1"/>
  <c r="FR426" i="1"/>
  <c r="GL426" i="1"/>
  <c r="GN426" i="1"/>
  <c r="GO426" i="1"/>
  <c r="GV426" i="1"/>
  <c r="HC426" i="1" s="1"/>
  <c r="D427" i="1"/>
  <c r="I427" i="1"/>
  <c r="K427" i="1"/>
  <c r="W427" i="1"/>
  <c r="AC427" i="1"/>
  <c r="CQ427" i="1" s="1"/>
  <c r="P427" i="1" s="1"/>
  <c r="AE427" i="1"/>
  <c r="AF427" i="1"/>
  <c r="AG427" i="1"/>
  <c r="AH427" i="1"/>
  <c r="AI427" i="1"/>
  <c r="AJ427" i="1"/>
  <c r="CX427" i="1" s="1"/>
  <c r="CT427" i="1"/>
  <c r="S427" i="1" s="1"/>
  <c r="CU427" i="1"/>
  <c r="T427" i="1" s="1"/>
  <c r="CV427" i="1"/>
  <c r="U427" i="1" s="1"/>
  <c r="CW427" i="1"/>
  <c r="V427" i="1" s="1"/>
  <c r="FR427" i="1"/>
  <c r="GL427" i="1"/>
  <c r="GN427" i="1"/>
  <c r="GO427" i="1"/>
  <c r="GV427" i="1"/>
  <c r="HC427" i="1" s="1"/>
  <c r="GX427" i="1" s="1"/>
  <c r="D428" i="1"/>
  <c r="I428" i="1"/>
  <c r="K428" i="1"/>
  <c r="W428" i="1"/>
  <c r="AC428" i="1"/>
  <c r="CQ428" i="1" s="1"/>
  <c r="AE428" i="1"/>
  <c r="AF428" i="1"/>
  <c r="AG428" i="1"/>
  <c r="CU428" i="1" s="1"/>
  <c r="AH428" i="1"/>
  <c r="AI428" i="1"/>
  <c r="CW428" i="1" s="1"/>
  <c r="V428" i="1" s="1"/>
  <c r="AJ428" i="1"/>
  <c r="CV428" i="1"/>
  <c r="CX428" i="1"/>
  <c r="FR428" i="1"/>
  <c r="GL428" i="1"/>
  <c r="GN428" i="1"/>
  <c r="GO428" i="1"/>
  <c r="GV428" i="1"/>
  <c r="HC428" i="1" s="1"/>
  <c r="D429" i="1"/>
  <c r="I429" i="1"/>
  <c r="K429" i="1"/>
  <c r="Q429" i="1"/>
  <c r="T429" i="1"/>
  <c r="U429" i="1"/>
  <c r="AC429" i="1"/>
  <c r="AE429" i="1"/>
  <c r="AD429" i="1" s="1"/>
  <c r="AF429" i="1"/>
  <c r="CT429" i="1" s="1"/>
  <c r="S429" i="1" s="1"/>
  <c r="AG429" i="1"/>
  <c r="CU429" i="1" s="1"/>
  <c r="AH429" i="1"/>
  <c r="CV429" i="1" s="1"/>
  <c r="AI429" i="1"/>
  <c r="CW429" i="1" s="1"/>
  <c r="AJ429" i="1"/>
  <c r="CX429" i="1" s="1"/>
  <c r="CQ429" i="1"/>
  <c r="P429" i="1" s="1"/>
  <c r="CR429" i="1"/>
  <c r="CS429" i="1"/>
  <c r="R429" i="1" s="1"/>
  <c r="GK429" i="1" s="1"/>
  <c r="FR429" i="1"/>
  <c r="GL429" i="1"/>
  <c r="GN429" i="1"/>
  <c r="GO429" i="1"/>
  <c r="GV429" i="1"/>
  <c r="HC429" i="1" s="1"/>
  <c r="D430" i="1"/>
  <c r="I430" i="1"/>
  <c r="K430" i="1"/>
  <c r="S430" i="1"/>
  <c r="AC430" i="1"/>
  <c r="AE430" i="1"/>
  <c r="AF430" i="1"/>
  <c r="AG430" i="1"/>
  <c r="AH430" i="1"/>
  <c r="AI430" i="1"/>
  <c r="AJ430" i="1"/>
  <c r="CX430" i="1" s="1"/>
  <c r="W430" i="1" s="1"/>
  <c r="CT430" i="1"/>
  <c r="CU430" i="1"/>
  <c r="T430" i="1" s="1"/>
  <c r="CV430" i="1"/>
  <c r="U430" i="1" s="1"/>
  <c r="CW430" i="1"/>
  <c r="V430" i="1" s="1"/>
  <c r="FR430" i="1"/>
  <c r="GL430" i="1"/>
  <c r="GN430" i="1"/>
  <c r="GO430" i="1"/>
  <c r="GV430" i="1"/>
  <c r="HC430" i="1" s="1"/>
  <c r="GX430" i="1" s="1"/>
  <c r="D431" i="1"/>
  <c r="I431" i="1"/>
  <c r="K431" i="1"/>
  <c r="AC431" i="1"/>
  <c r="CQ431" i="1" s="1"/>
  <c r="AE431" i="1"/>
  <c r="AF431" i="1"/>
  <c r="CT431" i="1" s="1"/>
  <c r="AG431" i="1"/>
  <c r="AH431" i="1"/>
  <c r="CV431" i="1" s="1"/>
  <c r="AI431" i="1"/>
  <c r="AJ431" i="1"/>
  <c r="CU431" i="1"/>
  <c r="CW431" i="1"/>
  <c r="V431" i="1" s="1"/>
  <c r="CX431" i="1"/>
  <c r="FR431" i="1"/>
  <c r="GL431" i="1"/>
  <c r="GN431" i="1"/>
  <c r="GO431" i="1"/>
  <c r="GV431" i="1"/>
  <c r="HC431" i="1"/>
  <c r="D433" i="1"/>
  <c r="I433" i="1"/>
  <c r="K433" i="1"/>
  <c r="AC433" i="1"/>
  <c r="CQ433" i="1" s="1"/>
  <c r="P433" i="1" s="1"/>
  <c r="AE433" i="1"/>
  <c r="AF433" i="1"/>
  <c r="AG433" i="1"/>
  <c r="CU433" i="1" s="1"/>
  <c r="AH433" i="1"/>
  <c r="CV433" i="1" s="1"/>
  <c r="AI433" i="1"/>
  <c r="CW433" i="1" s="1"/>
  <c r="AJ433" i="1"/>
  <c r="CX433" i="1" s="1"/>
  <c r="W433" i="1" s="1"/>
  <c r="FR433" i="1"/>
  <c r="GL433" i="1"/>
  <c r="GN433" i="1"/>
  <c r="GO433" i="1"/>
  <c r="GV433" i="1"/>
  <c r="HC433" i="1" s="1"/>
  <c r="D434" i="1"/>
  <c r="I434" i="1"/>
  <c r="K434" i="1"/>
  <c r="AC434" i="1"/>
  <c r="AE434" i="1"/>
  <c r="AF434" i="1"/>
  <c r="CT434" i="1" s="1"/>
  <c r="S434" i="1" s="1"/>
  <c r="CY434" i="1" s="1"/>
  <c r="X434" i="1" s="1"/>
  <c r="AG434" i="1"/>
  <c r="CU434" i="1" s="1"/>
  <c r="T434" i="1" s="1"/>
  <c r="AH434" i="1"/>
  <c r="CV434" i="1" s="1"/>
  <c r="U434" i="1" s="1"/>
  <c r="AI434" i="1"/>
  <c r="CW434" i="1" s="1"/>
  <c r="V434" i="1" s="1"/>
  <c r="AJ434" i="1"/>
  <c r="CX434" i="1" s="1"/>
  <c r="W434" i="1" s="1"/>
  <c r="CQ434" i="1"/>
  <c r="P434" i="1" s="1"/>
  <c r="CZ434" i="1"/>
  <c r="Y434" i="1" s="1"/>
  <c r="FR434" i="1"/>
  <c r="GL434" i="1"/>
  <c r="GN434" i="1"/>
  <c r="GO434" i="1"/>
  <c r="GV434" i="1"/>
  <c r="HC434" i="1" s="1"/>
  <c r="GX434" i="1" s="1"/>
  <c r="D435" i="1"/>
  <c r="I435" i="1"/>
  <c r="K435" i="1"/>
  <c r="AC435" i="1"/>
  <c r="AE435" i="1"/>
  <c r="AF435" i="1"/>
  <c r="AG435" i="1"/>
  <c r="AH435" i="1"/>
  <c r="CV435" i="1" s="1"/>
  <c r="AI435" i="1"/>
  <c r="AJ435" i="1"/>
  <c r="CX435" i="1" s="1"/>
  <c r="CQ435" i="1"/>
  <c r="CR435" i="1"/>
  <c r="CT435" i="1"/>
  <c r="CU435" i="1"/>
  <c r="T435" i="1" s="1"/>
  <c r="CW435" i="1"/>
  <c r="FR435" i="1"/>
  <c r="GL435" i="1"/>
  <c r="GN435" i="1"/>
  <c r="GO435" i="1"/>
  <c r="GV435" i="1"/>
  <c r="HC435" i="1"/>
  <c r="D436" i="1"/>
  <c r="I436" i="1"/>
  <c r="K436" i="1"/>
  <c r="AC436" i="1"/>
  <c r="CQ436" i="1" s="1"/>
  <c r="AE436" i="1"/>
  <c r="AD436" i="1" s="1"/>
  <c r="AB436" i="1" s="1"/>
  <c r="AF436" i="1"/>
  <c r="AG436" i="1"/>
  <c r="AH436" i="1"/>
  <c r="AI436" i="1"/>
  <c r="AJ436" i="1"/>
  <c r="CX436" i="1" s="1"/>
  <c r="W436" i="1" s="1"/>
  <c r="CR436" i="1"/>
  <c r="CS436" i="1"/>
  <c r="CT436" i="1"/>
  <c r="CU436" i="1"/>
  <c r="CV436" i="1"/>
  <c r="CW436" i="1"/>
  <c r="V436" i="1" s="1"/>
  <c r="FR436" i="1"/>
  <c r="GL436" i="1"/>
  <c r="GN436" i="1"/>
  <c r="GO436" i="1"/>
  <c r="GV436" i="1"/>
  <c r="HC436" i="1"/>
  <c r="D437" i="1"/>
  <c r="I437" i="1"/>
  <c r="K437" i="1"/>
  <c r="P437" i="1"/>
  <c r="AC437" i="1"/>
  <c r="CQ437" i="1" s="1"/>
  <c r="AE437" i="1"/>
  <c r="AF437" i="1"/>
  <c r="CT437" i="1" s="1"/>
  <c r="AG437" i="1"/>
  <c r="CU437" i="1" s="1"/>
  <c r="AH437" i="1"/>
  <c r="CV437" i="1" s="1"/>
  <c r="U437" i="1" s="1"/>
  <c r="AI437" i="1"/>
  <c r="AJ437" i="1"/>
  <c r="CX437" i="1" s="1"/>
  <c r="W437" i="1" s="1"/>
  <c r="CW437" i="1"/>
  <c r="V437" i="1" s="1"/>
  <c r="FR437" i="1"/>
  <c r="GL437" i="1"/>
  <c r="GN437" i="1"/>
  <c r="GO437" i="1"/>
  <c r="GV437" i="1"/>
  <c r="HC437" i="1" s="1"/>
  <c r="D438" i="1"/>
  <c r="I438" i="1"/>
  <c r="T438" i="1" s="1"/>
  <c r="K438" i="1"/>
  <c r="AC438" i="1"/>
  <c r="AE438" i="1"/>
  <c r="AD438" i="1" s="1"/>
  <c r="AF438" i="1"/>
  <c r="CT438" i="1" s="1"/>
  <c r="AG438" i="1"/>
  <c r="CU438" i="1" s="1"/>
  <c r="AH438" i="1"/>
  <c r="CV438" i="1" s="1"/>
  <c r="AI438" i="1"/>
  <c r="CW438" i="1" s="1"/>
  <c r="AJ438" i="1"/>
  <c r="CX438" i="1" s="1"/>
  <c r="CQ438" i="1"/>
  <c r="CR438" i="1"/>
  <c r="CS438" i="1"/>
  <c r="FR438" i="1"/>
  <c r="GL438" i="1"/>
  <c r="GN438" i="1"/>
  <c r="GO438" i="1"/>
  <c r="GV438" i="1"/>
  <c r="HC438" i="1" s="1"/>
  <c r="D440" i="1"/>
  <c r="I440" i="1"/>
  <c r="K440" i="1"/>
  <c r="R440" i="1"/>
  <c r="GK440" i="1" s="1"/>
  <c r="S440" i="1"/>
  <c r="AC440" i="1"/>
  <c r="AE440" i="1"/>
  <c r="AF440" i="1"/>
  <c r="AG440" i="1"/>
  <c r="CU440" i="1" s="1"/>
  <c r="AH440" i="1"/>
  <c r="CV440" i="1" s="1"/>
  <c r="AI440" i="1"/>
  <c r="CW440" i="1" s="1"/>
  <c r="AJ440" i="1"/>
  <c r="CX440" i="1" s="1"/>
  <c r="CQ440" i="1"/>
  <c r="CS440" i="1"/>
  <c r="CT440" i="1"/>
  <c r="FR440" i="1"/>
  <c r="GL440" i="1"/>
  <c r="GN440" i="1"/>
  <c r="GO440" i="1"/>
  <c r="GV440" i="1"/>
  <c r="HC440" i="1" s="1"/>
  <c r="D441" i="1"/>
  <c r="I441" i="1"/>
  <c r="K441" i="1"/>
  <c r="AC441" i="1"/>
  <c r="AE441" i="1"/>
  <c r="CR441" i="1" s="1"/>
  <c r="Q441" i="1" s="1"/>
  <c r="AF441" i="1"/>
  <c r="CT441" i="1" s="1"/>
  <c r="S441" i="1" s="1"/>
  <c r="AG441" i="1"/>
  <c r="AH441" i="1"/>
  <c r="CV441" i="1" s="1"/>
  <c r="U441" i="1" s="1"/>
  <c r="AI441" i="1"/>
  <c r="CW441" i="1" s="1"/>
  <c r="V441" i="1" s="1"/>
  <c r="AJ441" i="1"/>
  <c r="CU441" i="1"/>
  <c r="CX441" i="1"/>
  <c r="W441" i="1" s="1"/>
  <c r="FR441" i="1"/>
  <c r="GL441" i="1"/>
  <c r="GN441" i="1"/>
  <c r="GO441" i="1"/>
  <c r="GV441" i="1"/>
  <c r="HC441" i="1" s="1"/>
  <c r="B443" i="1"/>
  <c r="B406" i="1" s="1"/>
  <c r="C443" i="1"/>
  <c r="C406" i="1" s="1"/>
  <c r="D443" i="1"/>
  <c r="D406" i="1" s="1"/>
  <c r="F443" i="1"/>
  <c r="F406" i="1" s="1"/>
  <c r="G443" i="1"/>
  <c r="BX443" i="1"/>
  <c r="BX406" i="1" s="1"/>
  <c r="CK443" i="1"/>
  <c r="BB443" i="1" s="1"/>
  <c r="BB406" i="1" s="1"/>
  <c r="CL443" i="1"/>
  <c r="BC443" i="1" s="1"/>
  <c r="F459" i="1" s="1"/>
  <c r="CM443" i="1"/>
  <c r="BD443" i="1" s="1"/>
  <c r="F456" i="1"/>
  <c r="B473" i="1"/>
  <c r="B263" i="1" s="1"/>
  <c r="C473" i="1"/>
  <c r="C263" i="1" s="1"/>
  <c r="D473" i="1"/>
  <c r="D263" i="1" s="1"/>
  <c r="F473" i="1"/>
  <c r="F263" i="1" s="1"/>
  <c r="G473" i="1"/>
  <c r="D503" i="1"/>
  <c r="E505" i="1"/>
  <c r="Z505" i="1"/>
  <c r="AA505" i="1"/>
  <c r="AB505" i="1"/>
  <c r="AC505" i="1"/>
  <c r="AD505" i="1"/>
  <c r="AE505" i="1"/>
  <c r="AF505" i="1"/>
  <c r="AG505" i="1"/>
  <c r="AH505" i="1"/>
  <c r="AI505" i="1"/>
  <c r="AJ505" i="1"/>
  <c r="AK505" i="1"/>
  <c r="AL505" i="1"/>
  <c r="AM505" i="1"/>
  <c r="AN505" i="1"/>
  <c r="BE505" i="1"/>
  <c r="BF505" i="1"/>
  <c r="BG505" i="1"/>
  <c r="BH505" i="1"/>
  <c r="BI505" i="1"/>
  <c r="BJ505" i="1"/>
  <c r="BK505" i="1"/>
  <c r="BL505" i="1"/>
  <c r="BM505" i="1"/>
  <c r="BN505" i="1"/>
  <c r="BO505" i="1"/>
  <c r="BP505" i="1"/>
  <c r="BQ505" i="1"/>
  <c r="BR505" i="1"/>
  <c r="BS505" i="1"/>
  <c r="BT505" i="1"/>
  <c r="BU505" i="1"/>
  <c r="BV505" i="1"/>
  <c r="BW505" i="1"/>
  <c r="BX505" i="1"/>
  <c r="BY505" i="1"/>
  <c r="BZ505" i="1"/>
  <c r="CA505" i="1"/>
  <c r="CB505" i="1"/>
  <c r="CC505" i="1"/>
  <c r="CD505" i="1"/>
  <c r="CE505" i="1"/>
  <c r="CF505" i="1"/>
  <c r="CG505" i="1"/>
  <c r="CH505" i="1"/>
  <c r="CI505" i="1"/>
  <c r="CJ505" i="1"/>
  <c r="CK505" i="1"/>
  <c r="CL505" i="1"/>
  <c r="CM505" i="1"/>
  <c r="CN505" i="1"/>
  <c r="CO505" i="1"/>
  <c r="CP505" i="1"/>
  <c r="CQ505" i="1"/>
  <c r="CR505" i="1"/>
  <c r="CS505" i="1"/>
  <c r="CT505" i="1"/>
  <c r="CU505" i="1"/>
  <c r="CV505" i="1"/>
  <c r="CW505" i="1"/>
  <c r="CX505" i="1"/>
  <c r="CY505" i="1"/>
  <c r="CZ505" i="1"/>
  <c r="DA505" i="1"/>
  <c r="DB505" i="1"/>
  <c r="DC505" i="1"/>
  <c r="DD505" i="1"/>
  <c r="DE505" i="1"/>
  <c r="DF505" i="1"/>
  <c r="DG505" i="1"/>
  <c r="DH505" i="1"/>
  <c r="DI505" i="1"/>
  <c r="DJ505" i="1"/>
  <c r="DK505" i="1"/>
  <c r="DL505" i="1"/>
  <c r="DM505" i="1"/>
  <c r="DN505" i="1"/>
  <c r="DO505" i="1"/>
  <c r="DP505" i="1"/>
  <c r="DQ505" i="1"/>
  <c r="DR505" i="1"/>
  <c r="DS505" i="1"/>
  <c r="DT505" i="1"/>
  <c r="DU505" i="1"/>
  <c r="DV505" i="1"/>
  <c r="DW505" i="1"/>
  <c r="DX505" i="1"/>
  <c r="DY505" i="1"/>
  <c r="DZ505" i="1"/>
  <c r="EA505" i="1"/>
  <c r="EB505" i="1"/>
  <c r="EC505" i="1"/>
  <c r="ED505" i="1"/>
  <c r="EE505" i="1"/>
  <c r="EF505" i="1"/>
  <c r="EG505" i="1"/>
  <c r="EH505" i="1"/>
  <c r="EI505" i="1"/>
  <c r="EJ505" i="1"/>
  <c r="EK505" i="1"/>
  <c r="EL505" i="1"/>
  <c r="EM505" i="1"/>
  <c r="EN505" i="1"/>
  <c r="EO505" i="1"/>
  <c r="EP505" i="1"/>
  <c r="EQ505" i="1"/>
  <c r="ER505" i="1"/>
  <c r="ES505" i="1"/>
  <c r="ET505" i="1"/>
  <c r="EU505" i="1"/>
  <c r="EV505" i="1"/>
  <c r="EW505" i="1"/>
  <c r="EX505" i="1"/>
  <c r="EY505" i="1"/>
  <c r="EZ505" i="1"/>
  <c r="FA505" i="1"/>
  <c r="FB505" i="1"/>
  <c r="FC505" i="1"/>
  <c r="FD505" i="1"/>
  <c r="FE505" i="1"/>
  <c r="FF505" i="1"/>
  <c r="FG505" i="1"/>
  <c r="FH505" i="1"/>
  <c r="FI505" i="1"/>
  <c r="FJ505" i="1"/>
  <c r="FK505" i="1"/>
  <c r="FL505" i="1"/>
  <c r="FM505" i="1"/>
  <c r="FN505" i="1"/>
  <c r="FO505" i="1"/>
  <c r="FP505" i="1"/>
  <c r="FQ505" i="1"/>
  <c r="FR505" i="1"/>
  <c r="FS505" i="1"/>
  <c r="FT505" i="1"/>
  <c r="FU505" i="1"/>
  <c r="FV505" i="1"/>
  <c r="FW505" i="1"/>
  <c r="FX505" i="1"/>
  <c r="FY505" i="1"/>
  <c r="FZ505" i="1"/>
  <c r="GA505" i="1"/>
  <c r="GB505" i="1"/>
  <c r="GC505" i="1"/>
  <c r="GD505" i="1"/>
  <c r="GE505" i="1"/>
  <c r="GF505" i="1"/>
  <c r="GG505" i="1"/>
  <c r="GH505" i="1"/>
  <c r="GI505" i="1"/>
  <c r="GJ505" i="1"/>
  <c r="GK505" i="1"/>
  <c r="GL505" i="1"/>
  <c r="GM505" i="1"/>
  <c r="GN505" i="1"/>
  <c r="GO505" i="1"/>
  <c r="GP505" i="1"/>
  <c r="GQ505" i="1"/>
  <c r="GR505" i="1"/>
  <c r="GS505" i="1"/>
  <c r="GT505" i="1"/>
  <c r="GU505" i="1"/>
  <c r="GV505" i="1"/>
  <c r="GW505" i="1"/>
  <c r="GX505" i="1"/>
  <c r="D507" i="1"/>
  <c r="E509" i="1"/>
  <c r="Z509" i="1"/>
  <c r="AA509" i="1"/>
  <c r="AM509" i="1"/>
  <c r="AN509" i="1"/>
  <c r="BE509" i="1"/>
  <c r="BF509" i="1"/>
  <c r="BG509" i="1"/>
  <c r="BH509" i="1"/>
  <c r="BI509" i="1"/>
  <c r="BJ509" i="1"/>
  <c r="BK509" i="1"/>
  <c r="BL509" i="1"/>
  <c r="BM509" i="1"/>
  <c r="BN509" i="1"/>
  <c r="BO509" i="1"/>
  <c r="BP509" i="1"/>
  <c r="BQ509" i="1"/>
  <c r="BR509" i="1"/>
  <c r="BS509" i="1"/>
  <c r="BT509" i="1"/>
  <c r="BU509" i="1"/>
  <c r="BV509" i="1"/>
  <c r="BW509" i="1"/>
  <c r="CK509" i="1"/>
  <c r="CN509" i="1"/>
  <c r="CO509" i="1"/>
  <c r="CP509" i="1"/>
  <c r="CQ509" i="1"/>
  <c r="CR509" i="1"/>
  <c r="CS509" i="1"/>
  <c r="CT509" i="1"/>
  <c r="CU509" i="1"/>
  <c r="CV509" i="1"/>
  <c r="CW509" i="1"/>
  <c r="CX509" i="1"/>
  <c r="CY509" i="1"/>
  <c r="CZ509" i="1"/>
  <c r="DA509" i="1"/>
  <c r="DB509" i="1"/>
  <c r="DC509" i="1"/>
  <c r="DD509" i="1"/>
  <c r="DE509" i="1"/>
  <c r="DF509" i="1"/>
  <c r="DG509" i="1"/>
  <c r="DH509" i="1"/>
  <c r="DI509" i="1"/>
  <c r="DJ509" i="1"/>
  <c r="DK509" i="1"/>
  <c r="DL509" i="1"/>
  <c r="DM509" i="1"/>
  <c r="DN509" i="1"/>
  <c r="DO509" i="1"/>
  <c r="DP509" i="1"/>
  <c r="DQ509" i="1"/>
  <c r="DR509" i="1"/>
  <c r="DS509" i="1"/>
  <c r="DT509" i="1"/>
  <c r="DU509" i="1"/>
  <c r="DV509" i="1"/>
  <c r="DW509" i="1"/>
  <c r="DX509" i="1"/>
  <c r="DY509" i="1"/>
  <c r="DZ509" i="1"/>
  <c r="EA509" i="1"/>
  <c r="EB509" i="1"/>
  <c r="EC509" i="1"/>
  <c r="ED509" i="1"/>
  <c r="EE509" i="1"/>
  <c r="EF509" i="1"/>
  <c r="EG509" i="1"/>
  <c r="EH509" i="1"/>
  <c r="EI509" i="1"/>
  <c r="EJ509" i="1"/>
  <c r="EK509" i="1"/>
  <c r="EL509" i="1"/>
  <c r="EM509" i="1"/>
  <c r="EN509" i="1"/>
  <c r="EO509" i="1"/>
  <c r="EP509" i="1"/>
  <c r="EQ509" i="1"/>
  <c r="ER509" i="1"/>
  <c r="ES509" i="1"/>
  <c r="ET509" i="1"/>
  <c r="EU509" i="1"/>
  <c r="EV509" i="1"/>
  <c r="EW509" i="1"/>
  <c r="EX509" i="1"/>
  <c r="EY509" i="1"/>
  <c r="EZ509" i="1"/>
  <c r="FA509" i="1"/>
  <c r="FB509" i="1"/>
  <c r="FC509" i="1"/>
  <c r="FD509" i="1"/>
  <c r="FE509" i="1"/>
  <c r="FF509" i="1"/>
  <c r="FG509" i="1"/>
  <c r="FH509" i="1"/>
  <c r="FI509" i="1"/>
  <c r="FJ509" i="1"/>
  <c r="FK509" i="1"/>
  <c r="FL509" i="1"/>
  <c r="FM509" i="1"/>
  <c r="FN509" i="1"/>
  <c r="FO509" i="1"/>
  <c r="FP509" i="1"/>
  <c r="FQ509" i="1"/>
  <c r="FR509" i="1"/>
  <c r="FS509" i="1"/>
  <c r="FT509" i="1"/>
  <c r="FU509" i="1"/>
  <c r="FV509" i="1"/>
  <c r="FW509" i="1"/>
  <c r="FX509" i="1"/>
  <c r="FY509" i="1"/>
  <c r="FZ509" i="1"/>
  <c r="GA509" i="1"/>
  <c r="GB509" i="1"/>
  <c r="GC509" i="1"/>
  <c r="GD509" i="1"/>
  <c r="GE509" i="1"/>
  <c r="GF509" i="1"/>
  <c r="GG509" i="1"/>
  <c r="GH509" i="1"/>
  <c r="GI509" i="1"/>
  <c r="GJ509" i="1"/>
  <c r="GK509" i="1"/>
  <c r="GL509" i="1"/>
  <c r="GM509" i="1"/>
  <c r="GN509" i="1"/>
  <c r="GO509" i="1"/>
  <c r="GP509" i="1"/>
  <c r="GQ509" i="1"/>
  <c r="GR509" i="1"/>
  <c r="GS509" i="1"/>
  <c r="GT509" i="1"/>
  <c r="GU509" i="1"/>
  <c r="GV509" i="1"/>
  <c r="GW509" i="1"/>
  <c r="GX509" i="1"/>
  <c r="D511" i="1"/>
  <c r="I511" i="1"/>
  <c r="K511" i="1"/>
  <c r="P511" i="1"/>
  <c r="CP511" i="1" s="1"/>
  <c r="O511" i="1" s="1"/>
  <c r="V511" i="1"/>
  <c r="W511" i="1"/>
  <c r="AC511" i="1"/>
  <c r="CQ511" i="1" s="1"/>
  <c r="AE511" i="1"/>
  <c r="AD511" i="1" s="1"/>
  <c r="AF511" i="1"/>
  <c r="CT511" i="1" s="1"/>
  <c r="S511" i="1" s="1"/>
  <c r="AG511" i="1"/>
  <c r="AH511" i="1"/>
  <c r="AI511" i="1"/>
  <c r="CW511" i="1" s="1"/>
  <c r="AJ511" i="1"/>
  <c r="CX511" i="1" s="1"/>
  <c r="CR511" i="1"/>
  <c r="Q511" i="1" s="1"/>
  <c r="CS511" i="1"/>
  <c r="R511" i="1" s="1"/>
  <c r="GK511" i="1" s="1"/>
  <c r="CU511" i="1"/>
  <c r="T511" i="1" s="1"/>
  <c r="CV511" i="1"/>
  <c r="U511" i="1" s="1"/>
  <c r="FR511" i="1"/>
  <c r="GL511" i="1"/>
  <c r="GN511" i="1"/>
  <c r="GO511" i="1"/>
  <c r="GV511" i="1"/>
  <c r="HC511" i="1" s="1"/>
  <c r="GX511" i="1" s="1"/>
  <c r="D512" i="1"/>
  <c r="I512" i="1"/>
  <c r="GX512" i="1" s="1"/>
  <c r="K512" i="1"/>
  <c r="AC512" i="1"/>
  <c r="AE512" i="1"/>
  <c r="AF512" i="1"/>
  <c r="CT512" i="1" s="1"/>
  <c r="AG512" i="1"/>
  <c r="CU512" i="1" s="1"/>
  <c r="AH512" i="1"/>
  <c r="AI512" i="1"/>
  <c r="CW512" i="1" s="1"/>
  <c r="AJ512" i="1"/>
  <c r="CX512" i="1" s="1"/>
  <c r="CV512" i="1"/>
  <c r="FR512" i="1"/>
  <c r="GL512" i="1"/>
  <c r="GN512" i="1"/>
  <c r="GO512" i="1"/>
  <c r="GV512" i="1"/>
  <c r="HC512" i="1" s="1"/>
  <c r="D513" i="1"/>
  <c r="I513" i="1"/>
  <c r="K513" i="1"/>
  <c r="AC513" i="1"/>
  <c r="AE513" i="1"/>
  <c r="AF513" i="1"/>
  <c r="AG513" i="1"/>
  <c r="CU513" i="1" s="1"/>
  <c r="T513" i="1" s="1"/>
  <c r="AH513" i="1"/>
  <c r="CV513" i="1" s="1"/>
  <c r="AI513" i="1"/>
  <c r="CW513" i="1" s="1"/>
  <c r="AJ513" i="1"/>
  <c r="CX513" i="1" s="1"/>
  <c r="CQ513" i="1"/>
  <c r="FR513" i="1"/>
  <c r="GL513" i="1"/>
  <c r="GN513" i="1"/>
  <c r="GO513" i="1"/>
  <c r="GV513" i="1"/>
  <c r="HC513" i="1" s="1"/>
  <c r="D514" i="1"/>
  <c r="I514" i="1"/>
  <c r="K514" i="1"/>
  <c r="AC514" i="1"/>
  <c r="AE514" i="1"/>
  <c r="AF514" i="1"/>
  <c r="AG514" i="1"/>
  <c r="AH514" i="1"/>
  <c r="AI514" i="1"/>
  <c r="AJ514" i="1"/>
  <c r="CT514" i="1"/>
  <c r="S514" i="1" s="1"/>
  <c r="CU514" i="1"/>
  <c r="T514" i="1" s="1"/>
  <c r="CV514" i="1"/>
  <c r="CW514" i="1"/>
  <c r="CX514" i="1"/>
  <c r="W514" i="1" s="1"/>
  <c r="FR514" i="1"/>
  <c r="GL514" i="1"/>
  <c r="GN514" i="1"/>
  <c r="GO514" i="1"/>
  <c r="GV514" i="1"/>
  <c r="HC514" i="1" s="1"/>
  <c r="GX514" i="1" s="1"/>
  <c r="D515" i="1"/>
  <c r="I515" i="1"/>
  <c r="K515" i="1"/>
  <c r="AC515" i="1"/>
  <c r="CQ515" i="1" s="1"/>
  <c r="AE515" i="1"/>
  <c r="AF515" i="1"/>
  <c r="AG515" i="1"/>
  <c r="CU515" i="1" s="1"/>
  <c r="AH515" i="1"/>
  <c r="CV515" i="1" s="1"/>
  <c r="AI515" i="1"/>
  <c r="AJ515" i="1"/>
  <c r="CW515" i="1"/>
  <c r="CX515" i="1"/>
  <c r="FR515" i="1"/>
  <c r="GL515" i="1"/>
  <c r="GN515" i="1"/>
  <c r="GO515" i="1"/>
  <c r="GV515" i="1"/>
  <c r="HC515" i="1"/>
  <c r="D516" i="1"/>
  <c r="U516" i="1"/>
  <c r="AC516" i="1"/>
  <c r="AE516" i="1"/>
  <c r="AF516" i="1"/>
  <c r="CT516" i="1" s="1"/>
  <c r="S516" i="1" s="1"/>
  <c r="AG516" i="1"/>
  <c r="CU516" i="1" s="1"/>
  <c r="T516" i="1" s="1"/>
  <c r="AH516" i="1"/>
  <c r="CV516" i="1" s="1"/>
  <c r="AI516" i="1"/>
  <c r="CW516" i="1" s="1"/>
  <c r="V516" i="1" s="1"/>
  <c r="AJ516" i="1"/>
  <c r="CX516" i="1" s="1"/>
  <c r="W516" i="1" s="1"/>
  <c r="FR516" i="1"/>
  <c r="GL516" i="1"/>
  <c r="GN516" i="1"/>
  <c r="GO516" i="1"/>
  <c r="GV516" i="1"/>
  <c r="HC516" i="1" s="1"/>
  <c r="GX516" i="1" s="1"/>
  <c r="D517" i="1"/>
  <c r="I517" i="1"/>
  <c r="K517" i="1"/>
  <c r="AC517" i="1"/>
  <c r="AE517" i="1"/>
  <c r="AF517" i="1"/>
  <c r="AG517" i="1"/>
  <c r="CU517" i="1" s="1"/>
  <c r="T517" i="1" s="1"/>
  <c r="AH517" i="1"/>
  <c r="AI517" i="1"/>
  <c r="CW517" i="1" s="1"/>
  <c r="V517" i="1" s="1"/>
  <c r="AJ517" i="1"/>
  <c r="CX517" i="1" s="1"/>
  <c r="W517" i="1" s="1"/>
  <c r="CQ517" i="1"/>
  <c r="P517" i="1" s="1"/>
  <c r="CR517" i="1"/>
  <c r="Q517" i="1" s="1"/>
  <c r="CS517" i="1"/>
  <c r="CT517" i="1"/>
  <c r="S517" i="1" s="1"/>
  <c r="CV517" i="1"/>
  <c r="U517" i="1" s="1"/>
  <c r="FR517" i="1"/>
  <c r="GL517" i="1"/>
  <c r="GN517" i="1"/>
  <c r="GO517" i="1"/>
  <c r="GV517" i="1"/>
  <c r="HC517" i="1" s="1"/>
  <c r="GX517" i="1"/>
  <c r="D518" i="1"/>
  <c r="I518" i="1"/>
  <c r="K518" i="1"/>
  <c r="AC518" i="1"/>
  <c r="CQ518" i="1" s="1"/>
  <c r="AE518" i="1"/>
  <c r="AF518" i="1"/>
  <c r="AG518" i="1"/>
  <c r="CU518" i="1" s="1"/>
  <c r="T518" i="1" s="1"/>
  <c r="AH518" i="1"/>
  <c r="AI518" i="1"/>
  <c r="CW518" i="1" s="1"/>
  <c r="AJ518" i="1"/>
  <c r="CX518" i="1" s="1"/>
  <c r="CV518" i="1"/>
  <c r="U518" i="1" s="1"/>
  <c r="FR518" i="1"/>
  <c r="GL518" i="1"/>
  <c r="GN518" i="1"/>
  <c r="GO518" i="1"/>
  <c r="GV518" i="1"/>
  <c r="HC518" i="1"/>
  <c r="GX518" i="1" s="1"/>
  <c r="D519" i="1"/>
  <c r="I519" i="1"/>
  <c r="K519" i="1"/>
  <c r="AC519" i="1"/>
  <c r="AE519" i="1"/>
  <c r="AF519" i="1"/>
  <c r="AG519" i="1"/>
  <c r="CU519" i="1" s="1"/>
  <c r="AH519" i="1"/>
  <c r="CV519" i="1" s="1"/>
  <c r="U519" i="1" s="1"/>
  <c r="AI519" i="1"/>
  <c r="CW519" i="1" s="1"/>
  <c r="V519" i="1" s="1"/>
  <c r="AJ519" i="1"/>
  <c r="CX519" i="1"/>
  <c r="W519" i="1" s="1"/>
  <c r="FR519" i="1"/>
  <c r="GL519" i="1"/>
  <c r="GN519" i="1"/>
  <c r="GO519" i="1"/>
  <c r="GV519" i="1"/>
  <c r="HC519" i="1"/>
  <c r="GX519" i="1" s="1"/>
  <c r="D520" i="1"/>
  <c r="I520" i="1"/>
  <c r="K520" i="1"/>
  <c r="V520" i="1"/>
  <c r="AC520" i="1"/>
  <c r="AD520" i="1"/>
  <c r="AE520" i="1"/>
  <c r="AF520" i="1"/>
  <c r="AG520" i="1"/>
  <c r="CU520" i="1" s="1"/>
  <c r="T520" i="1" s="1"/>
  <c r="AH520" i="1"/>
  <c r="CV520" i="1" s="1"/>
  <c r="U520" i="1" s="1"/>
  <c r="AI520" i="1"/>
  <c r="CW520" i="1" s="1"/>
  <c r="AJ520" i="1"/>
  <c r="CX520" i="1" s="1"/>
  <c r="W520" i="1" s="1"/>
  <c r="CR520" i="1"/>
  <c r="Q520" i="1" s="1"/>
  <c r="CS520" i="1"/>
  <c r="FR520" i="1"/>
  <c r="GL520" i="1"/>
  <c r="GN520" i="1"/>
  <c r="GO520" i="1"/>
  <c r="GV520" i="1"/>
  <c r="HC520" i="1" s="1"/>
  <c r="GX520" i="1"/>
  <c r="D521" i="1"/>
  <c r="I521" i="1"/>
  <c r="K521" i="1"/>
  <c r="AC521" i="1"/>
  <c r="AE521" i="1"/>
  <c r="AF521" i="1"/>
  <c r="AG521" i="1"/>
  <c r="CU521" i="1" s="1"/>
  <c r="T521" i="1" s="1"/>
  <c r="AH521" i="1"/>
  <c r="CV521" i="1" s="1"/>
  <c r="U521" i="1" s="1"/>
  <c r="AI521" i="1"/>
  <c r="CW521" i="1" s="1"/>
  <c r="V521" i="1" s="1"/>
  <c r="AJ521" i="1"/>
  <c r="CX521" i="1" s="1"/>
  <c r="CQ521" i="1"/>
  <c r="CR521" i="1"/>
  <c r="Q521" i="1" s="1"/>
  <c r="CT521" i="1"/>
  <c r="S521" i="1" s="1"/>
  <c r="FR521" i="1"/>
  <c r="GL521" i="1"/>
  <c r="GN521" i="1"/>
  <c r="GO521" i="1"/>
  <c r="GV521" i="1"/>
  <c r="HC521" i="1" s="1"/>
  <c r="GX521" i="1" s="1"/>
  <c r="D522" i="1"/>
  <c r="I522" i="1"/>
  <c r="K522" i="1"/>
  <c r="AC522" i="1"/>
  <c r="CQ522" i="1" s="1"/>
  <c r="AE522" i="1"/>
  <c r="AF522" i="1"/>
  <c r="AG522" i="1"/>
  <c r="CU522" i="1" s="1"/>
  <c r="AH522" i="1"/>
  <c r="AI522" i="1"/>
  <c r="CW522" i="1" s="1"/>
  <c r="V522" i="1" s="1"/>
  <c r="AJ522" i="1"/>
  <c r="CX522" i="1" s="1"/>
  <c r="W522" i="1" s="1"/>
  <c r="CV522" i="1"/>
  <c r="U522" i="1" s="1"/>
  <c r="FR522" i="1"/>
  <c r="GL522" i="1"/>
  <c r="GN522" i="1"/>
  <c r="GO522" i="1"/>
  <c r="GV522" i="1"/>
  <c r="HC522" i="1"/>
  <c r="D523" i="1"/>
  <c r="I523" i="1"/>
  <c r="K523" i="1"/>
  <c r="AC523" i="1"/>
  <c r="AE523" i="1"/>
  <c r="AF523" i="1"/>
  <c r="CT523" i="1" s="1"/>
  <c r="AG523" i="1"/>
  <c r="CU523" i="1" s="1"/>
  <c r="AH523" i="1"/>
  <c r="CV523" i="1" s="1"/>
  <c r="AI523" i="1"/>
  <c r="CW523" i="1" s="1"/>
  <c r="AJ523" i="1"/>
  <c r="CX523" i="1" s="1"/>
  <c r="W523" i="1" s="1"/>
  <c r="FR523" i="1"/>
  <c r="GL523" i="1"/>
  <c r="GN523" i="1"/>
  <c r="GO523" i="1"/>
  <c r="GV523" i="1"/>
  <c r="HC523" i="1"/>
  <c r="GX523" i="1" s="1"/>
  <c r="D524" i="1"/>
  <c r="I524" i="1"/>
  <c r="U524" i="1" s="1"/>
  <c r="K524" i="1"/>
  <c r="AC524" i="1"/>
  <c r="CQ524" i="1" s="1"/>
  <c r="P524" i="1" s="1"/>
  <c r="AE524" i="1"/>
  <c r="AF524" i="1"/>
  <c r="CT524" i="1" s="1"/>
  <c r="S524" i="1" s="1"/>
  <c r="AG524" i="1"/>
  <c r="CU524" i="1" s="1"/>
  <c r="AH524" i="1"/>
  <c r="CV524" i="1" s="1"/>
  <c r="AI524" i="1"/>
  <c r="CW524" i="1" s="1"/>
  <c r="V524" i="1" s="1"/>
  <c r="AJ524" i="1"/>
  <c r="CX524" i="1" s="1"/>
  <c r="FR524" i="1"/>
  <c r="GL524" i="1"/>
  <c r="GN524" i="1"/>
  <c r="GO524" i="1"/>
  <c r="GV524" i="1"/>
  <c r="HC524" i="1" s="1"/>
  <c r="GX524" i="1" s="1"/>
  <c r="D525" i="1"/>
  <c r="I525" i="1"/>
  <c r="K525" i="1"/>
  <c r="AC525" i="1"/>
  <c r="AE525" i="1"/>
  <c r="AD525" i="1" s="1"/>
  <c r="AF525" i="1"/>
  <c r="AG525" i="1"/>
  <c r="CU525" i="1" s="1"/>
  <c r="AH525" i="1"/>
  <c r="AI525" i="1"/>
  <c r="CW525" i="1" s="1"/>
  <c r="AJ525" i="1"/>
  <c r="CX525" i="1" s="1"/>
  <c r="CQ525" i="1"/>
  <c r="CR525" i="1"/>
  <c r="CT525" i="1"/>
  <c r="CV525" i="1"/>
  <c r="FR525" i="1"/>
  <c r="GL525" i="1"/>
  <c r="GN525" i="1"/>
  <c r="GO525" i="1"/>
  <c r="GV525" i="1"/>
  <c r="HC525" i="1"/>
  <c r="D526" i="1"/>
  <c r="I526" i="1"/>
  <c r="K526" i="1"/>
  <c r="AC526" i="1"/>
  <c r="CQ526" i="1" s="1"/>
  <c r="AD526" i="1"/>
  <c r="AE526" i="1"/>
  <c r="AF526" i="1"/>
  <c r="AG526" i="1"/>
  <c r="CU526" i="1" s="1"/>
  <c r="T526" i="1" s="1"/>
  <c r="AH526" i="1"/>
  <c r="CV526" i="1" s="1"/>
  <c r="U526" i="1" s="1"/>
  <c r="AI526" i="1"/>
  <c r="AJ526" i="1"/>
  <c r="CX526" i="1" s="1"/>
  <c r="W526" i="1" s="1"/>
  <c r="CT526" i="1"/>
  <c r="S526" i="1" s="1"/>
  <c r="CY526" i="1" s="1"/>
  <c r="X526" i="1" s="1"/>
  <c r="CW526" i="1"/>
  <c r="V526" i="1" s="1"/>
  <c r="FR526" i="1"/>
  <c r="GL526" i="1"/>
  <c r="GN526" i="1"/>
  <c r="GO526" i="1"/>
  <c r="GV526" i="1"/>
  <c r="HC526" i="1"/>
  <c r="GX526" i="1" s="1"/>
  <c r="D527" i="1"/>
  <c r="I527" i="1"/>
  <c r="K527" i="1"/>
  <c r="AC527" i="1"/>
  <c r="AE527" i="1"/>
  <c r="AF527" i="1"/>
  <c r="AG527" i="1"/>
  <c r="CU527" i="1" s="1"/>
  <c r="AH527" i="1"/>
  <c r="CV527" i="1" s="1"/>
  <c r="AI527" i="1"/>
  <c r="CW527" i="1" s="1"/>
  <c r="AJ527" i="1"/>
  <c r="CX527" i="1" s="1"/>
  <c r="FR527" i="1"/>
  <c r="GL527" i="1"/>
  <c r="GN527" i="1"/>
  <c r="GO527" i="1"/>
  <c r="GV527" i="1"/>
  <c r="HC527" i="1"/>
  <c r="D528" i="1"/>
  <c r="I528" i="1"/>
  <c r="K528" i="1"/>
  <c r="V528" i="1"/>
  <c r="AC528" i="1"/>
  <c r="AE528" i="1"/>
  <c r="AF528" i="1"/>
  <c r="AG528" i="1"/>
  <c r="CU528" i="1" s="1"/>
  <c r="T528" i="1" s="1"/>
  <c r="AH528" i="1"/>
  <c r="CV528" i="1" s="1"/>
  <c r="AI528" i="1"/>
  <c r="CW528" i="1" s="1"/>
  <c r="AJ528" i="1"/>
  <c r="CX528" i="1" s="1"/>
  <c r="W528" i="1" s="1"/>
  <c r="CQ528" i="1"/>
  <c r="FR528" i="1"/>
  <c r="GL528" i="1"/>
  <c r="GN528" i="1"/>
  <c r="GO528" i="1"/>
  <c r="GV528" i="1"/>
  <c r="HC528" i="1" s="1"/>
  <c r="GX528" i="1"/>
  <c r="D529" i="1"/>
  <c r="I529" i="1"/>
  <c r="K529" i="1"/>
  <c r="AC529" i="1"/>
  <c r="AE529" i="1"/>
  <c r="AF529" i="1"/>
  <c r="AG529" i="1"/>
  <c r="AH529" i="1"/>
  <c r="CV529" i="1" s="1"/>
  <c r="U529" i="1" s="1"/>
  <c r="AI529" i="1"/>
  <c r="CW529" i="1" s="1"/>
  <c r="V529" i="1" s="1"/>
  <c r="AJ529" i="1"/>
  <c r="CX529" i="1" s="1"/>
  <c r="W529" i="1" s="1"/>
  <c r="CQ529" i="1"/>
  <c r="P529" i="1" s="1"/>
  <c r="CR529" i="1"/>
  <c r="Q529" i="1" s="1"/>
  <c r="CS529" i="1"/>
  <c r="CU529" i="1"/>
  <c r="T529" i="1" s="1"/>
  <c r="FR529" i="1"/>
  <c r="GL529" i="1"/>
  <c r="GN529" i="1"/>
  <c r="GO529" i="1"/>
  <c r="GV529" i="1"/>
  <c r="HC529" i="1" s="1"/>
  <c r="GX529" i="1" s="1"/>
  <c r="D530" i="1"/>
  <c r="I530" i="1"/>
  <c r="K530" i="1"/>
  <c r="AC530" i="1"/>
  <c r="CQ530" i="1" s="1"/>
  <c r="P530" i="1" s="1"/>
  <c r="AE530" i="1"/>
  <c r="AF530" i="1"/>
  <c r="AG530" i="1"/>
  <c r="CU530" i="1" s="1"/>
  <c r="T530" i="1" s="1"/>
  <c r="AH530" i="1"/>
  <c r="CV530" i="1" s="1"/>
  <c r="U530" i="1" s="1"/>
  <c r="AI530" i="1"/>
  <c r="CW530" i="1" s="1"/>
  <c r="V530" i="1" s="1"/>
  <c r="AJ530" i="1"/>
  <c r="CX530" i="1"/>
  <c r="W530" i="1" s="1"/>
  <c r="FR530" i="1"/>
  <c r="GL530" i="1"/>
  <c r="GN530" i="1"/>
  <c r="GO530" i="1"/>
  <c r="GV530" i="1"/>
  <c r="HC530" i="1" s="1"/>
  <c r="GX530" i="1" s="1"/>
  <c r="D531" i="1"/>
  <c r="I531" i="1"/>
  <c r="K531" i="1"/>
  <c r="AC531" i="1"/>
  <c r="AD531" i="1"/>
  <c r="AE531" i="1"/>
  <c r="AF531" i="1"/>
  <c r="CT531" i="1" s="1"/>
  <c r="AG531" i="1"/>
  <c r="CU531" i="1" s="1"/>
  <c r="AH531" i="1"/>
  <c r="CV531" i="1" s="1"/>
  <c r="AI531" i="1"/>
  <c r="CW531" i="1" s="1"/>
  <c r="AJ531" i="1"/>
  <c r="CX531" i="1" s="1"/>
  <c r="FR531" i="1"/>
  <c r="GL531" i="1"/>
  <c r="GN531" i="1"/>
  <c r="GO531" i="1"/>
  <c r="GV531" i="1"/>
  <c r="HC531" i="1"/>
  <c r="D532" i="1"/>
  <c r="I532" i="1"/>
  <c r="K532" i="1"/>
  <c r="AC532" i="1"/>
  <c r="CQ532" i="1" s="1"/>
  <c r="P532" i="1" s="1"/>
  <c r="AE532" i="1"/>
  <c r="AF532" i="1"/>
  <c r="CT532" i="1" s="1"/>
  <c r="AG532" i="1"/>
  <c r="CU532" i="1" s="1"/>
  <c r="T532" i="1" s="1"/>
  <c r="AH532" i="1"/>
  <c r="CV532" i="1" s="1"/>
  <c r="U532" i="1" s="1"/>
  <c r="AI532" i="1"/>
  <c r="CW532" i="1" s="1"/>
  <c r="V532" i="1" s="1"/>
  <c r="AJ532" i="1"/>
  <c r="CX532" i="1" s="1"/>
  <c r="FR532" i="1"/>
  <c r="GL532" i="1"/>
  <c r="GN532" i="1"/>
  <c r="GO532" i="1"/>
  <c r="GV532" i="1"/>
  <c r="HC532" i="1" s="1"/>
  <c r="GX532" i="1"/>
  <c r="B534" i="1"/>
  <c r="B509" i="1" s="1"/>
  <c r="C534" i="1"/>
  <c r="C509" i="1" s="1"/>
  <c r="D534" i="1"/>
  <c r="D509" i="1" s="1"/>
  <c r="F534" i="1"/>
  <c r="F509" i="1" s="1"/>
  <c r="G534" i="1"/>
  <c r="BC534" i="1"/>
  <c r="BC509" i="1" s="1"/>
  <c r="BD534" i="1"/>
  <c r="BX534" i="1"/>
  <c r="CK534" i="1"/>
  <c r="BB534" i="1" s="1"/>
  <c r="CL534" i="1"/>
  <c r="CL509" i="1" s="1"/>
  <c r="CM534" i="1"/>
  <c r="CM509" i="1" s="1"/>
  <c r="D564" i="1"/>
  <c r="B566" i="1"/>
  <c r="E566" i="1"/>
  <c r="Z566" i="1"/>
  <c r="AA566" i="1"/>
  <c r="AM566" i="1"/>
  <c r="AN566" i="1"/>
  <c r="BE566" i="1"/>
  <c r="BF566" i="1"/>
  <c r="BG566" i="1"/>
  <c r="BH566" i="1"/>
  <c r="BI566" i="1"/>
  <c r="BJ566" i="1"/>
  <c r="BK566" i="1"/>
  <c r="BL566" i="1"/>
  <c r="BM566" i="1"/>
  <c r="BN566" i="1"/>
  <c r="BO566" i="1"/>
  <c r="BP566" i="1"/>
  <c r="BQ566" i="1"/>
  <c r="BR566" i="1"/>
  <c r="BS566" i="1"/>
  <c r="BT566" i="1"/>
  <c r="BU566" i="1"/>
  <c r="BV566" i="1"/>
  <c r="BW566" i="1"/>
  <c r="CM566" i="1"/>
  <c r="CN566" i="1"/>
  <c r="CO566" i="1"/>
  <c r="CP566" i="1"/>
  <c r="CQ566" i="1"/>
  <c r="CR566" i="1"/>
  <c r="CS566" i="1"/>
  <c r="CT566" i="1"/>
  <c r="CU566" i="1"/>
  <c r="CV566" i="1"/>
  <c r="CW566" i="1"/>
  <c r="CX566" i="1"/>
  <c r="CY566" i="1"/>
  <c r="CZ566" i="1"/>
  <c r="DA566" i="1"/>
  <c r="DB566" i="1"/>
  <c r="DC566" i="1"/>
  <c r="DD566" i="1"/>
  <c r="DE566" i="1"/>
  <c r="DF566" i="1"/>
  <c r="DG566" i="1"/>
  <c r="DH566" i="1"/>
  <c r="DI566" i="1"/>
  <c r="DJ566" i="1"/>
  <c r="DK566" i="1"/>
  <c r="DL566" i="1"/>
  <c r="DM566" i="1"/>
  <c r="DN566" i="1"/>
  <c r="DO566" i="1"/>
  <c r="DP566" i="1"/>
  <c r="DQ566" i="1"/>
  <c r="DR566" i="1"/>
  <c r="DS566" i="1"/>
  <c r="DT566" i="1"/>
  <c r="DU566" i="1"/>
  <c r="DV566" i="1"/>
  <c r="DW566" i="1"/>
  <c r="DX566" i="1"/>
  <c r="DY566" i="1"/>
  <c r="DZ566" i="1"/>
  <c r="EA566" i="1"/>
  <c r="EB566" i="1"/>
  <c r="EC566" i="1"/>
  <c r="ED566" i="1"/>
  <c r="EE566" i="1"/>
  <c r="EF566" i="1"/>
  <c r="EG566" i="1"/>
  <c r="EH566" i="1"/>
  <c r="EI566" i="1"/>
  <c r="EJ566" i="1"/>
  <c r="EK566" i="1"/>
  <c r="EL566" i="1"/>
  <c r="EM566" i="1"/>
  <c r="EN566" i="1"/>
  <c r="EO566" i="1"/>
  <c r="EP566" i="1"/>
  <c r="EQ566" i="1"/>
  <c r="ER566" i="1"/>
  <c r="ES566" i="1"/>
  <c r="ET566" i="1"/>
  <c r="EU566" i="1"/>
  <c r="EV566" i="1"/>
  <c r="EW566" i="1"/>
  <c r="EX566" i="1"/>
  <c r="EY566" i="1"/>
  <c r="EZ566" i="1"/>
  <c r="FA566" i="1"/>
  <c r="FB566" i="1"/>
  <c r="FC566" i="1"/>
  <c r="FD566" i="1"/>
  <c r="FE566" i="1"/>
  <c r="FF566" i="1"/>
  <c r="FG566" i="1"/>
  <c r="FH566" i="1"/>
  <c r="FI566" i="1"/>
  <c r="FJ566" i="1"/>
  <c r="FK566" i="1"/>
  <c r="FL566" i="1"/>
  <c r="FM566" i="1"/>
  <c r="FN566" i="1"/>
  <c r="FO566" i="1"/>
  <c r="FP566" i="1"/>
  <c r="FQ566" i="1"/>
  <c r="FR566" i="1"/>
  <c r="FS566" i="1"/>
  <c r="FT566" i="1"/>
  <c r="FU566" i="1"/>
  <c r="FV566" i="1"/>
  <c r="FW566" i="1"/>
  <c r="FX566" i="1"/>
  <c r="FY566" i="1"/>
  <c r="FZ566" i="1"/>
  <c r="GA566" i="1"/>
  <c r="GB566" i="1"/>
  <c r="GC566" i="1"/>
  <c r="GD566" i="1"/>
  <c r="GE566" i="1"/>
  <c r="GF566" i="1"/>
  <c r="GG566" i="1"/>
  <c r="GH566" i="1"/>
  <c r="GI566" i="1"/>
  <c r="GJ566" i="1"/>
  <c r="GK566" i="1"/>
  <c r="GL566" i="1"/>
  <c r="GM566" i="1"/>
  <c r="GN566" i="1"/>
  <c r="GO566" i="1"/>
  <c r="GP566" i="1"/>
  <c r="GQ566" i="1"/>
  <c r="GR566" i="1"/>
  <c r="GS566" i="1"/>
  <c r="GT566" i="1"/>
  <c r="GU566" i="1"/>
  <c r="GV566" i="1"/>
  <c r="GW566" i="1"/>
  <c r="GX566" i="1"/>
  <c r="D568" i="1"/>
  <c r="I568" i="1"/>
  <c r="K568" i="1"/>
  <c r="AC568" i="1"/>
  <c r="CQ568" i="1" s="1"/>
  <c r="P568" i="1" s="1"/>
  <c r="AE568" i="1"/>
  <c r="CR568" i="1" s="1"/>
  <c r="AF568" i="1"/>
  <c r="CT568" i="1" s="1"/>
  <c r="S568" i="1" s="1"/>
  <c r="CZ568" i="1" s="1"/>
  <c r="Y568" i="1" s="1"/>
  <c r="AG568" i="1"/>
  <c r="CU568" i="1" s="1"/>
  <c r="AH568" i="1"/>
  <c r="CV568" i="1" s="1"/>
  <c r="AI568" i="1"/>
  <c r="CW568" i="1" s="1"/>
  <c r="AJ568" i="1"/>
  <c r="CX568" i="1" s="1"/>
  <c r="W568" i="1" s="1"/>
  <c r="FR568" i="1"/>
  <c r="GL568" i="1"/>
  <c r="GN568" i="1"/>
  <c r="GO568" i="1"/>
  <c r="GV568" i="1"/>
  <c r="HC568" i="1" s="1"/>
  <c r="D569" i="1"/>
  <c r="I569" i="1"/>
  <c r="K569" i="1"/>
  <c r="AC569" i="1"/>
  <c r="AE569" i="1"/>
  <c r="AF569" i="1"/>
  <c r="AG569" i="1"/>
  <c r="CU569" i="1" s="1"/>
  <c r="AH569" i="1"/>
  <c r="CV569" i="1" s="1"/>
  <c r="AI569" i="1"/>
  <c r="CW569" i="1" s="1"/>
  <c r="V569" i="1" s="1"/>
  <c r="AI572" i="1" s="1"/>
  <c r="AI566" i="1" s="1"/>
  <c r="AJ569" i="1"/>
  <c r="CX569" i="1" s="1"/>
  <c r="FR569" i="1"/>
  <c r="BY572" i="1" s="1"/>
  <c r="AP572" i="1" s="1"/>
  <c r="GL569" i="1"/>
  <c r="BZ572" i="1" s="1"/>
  <c r="GN569" i="1"/>
  <c r="GO569" i="1"/>
  <c r="CC572" i="1" s="1"/>
  <c r="CC566" i="1" s="1"/>
  <c r="GV569" i="1"/>
  <c r="HC569" i="1"/>
  <c r="D570" i="1"/>
  <c r="I570" i="1"/>
  <c r="U570" i="1" s="1"/>
  <c r="K570" i="1"/>
  <c r="T570" i="1"/>
  <c r="AC570" i="1"/>
  <c r="AE570" i="1"/>
  <c r="AF570" i="1"/>
  <c r="CT570" i="1" s="1"/>
  <c r="S570" i="1" s="1"/>
  <c r="AG570" i="1"/>
  <c r="CU570" i="1" s="1"/>
  <c r="AH570" i="1"/>
  <c r="CV570" i="1" s="1"/>
  <c r="AI570" i="1"/>
  <c r="CW570" i="1" s="1"/>
  <c r="AJ570" i="1"/>
  <c r="CX570" i="1"/>
  <c r="W570" i="1" s="1"/>
  <c r="FR570" i="1"/>
  <c r="GL570" i="1"/>
  <c r="GN570" i="1"/>
  <c r="GO570" i="1"/>
  <c r="GV570" i="1"/>
  <c r="HC570" i="1" s="1"/>
  <c r="B572" i="1"/>
  <c r="C572" i="1"/>
  <c r="C566" i="1" s="1"/>
  <c r="D572" i="1"/>
  <c r="D566" i="1" s="1"/>
  <c r="F572" i="1"/>
  <c r="F566" i="1" s="1"/>
  <c r="G572" i="1"/>
  <c r="AO572" i="1"/>
  <c r="BX572" i="1"/>
  <c r="BX566" i="1" s="1"/>
  <c r="CB572" i="1"/>
  <c r="CI572" i="1"/>
  <c r="CI566" i="1" s="1"/>
  <c r="CK572" i="1"/>
  <c r="CL572" i="1"/>
  <c r="CM572" i="1"/>
  <c r="BD572" i="1" s="1"/>
  <c r="D602" i="1"/>
  <c r="C604" i="1"/>
  <c r="E604" i="1"/>
  <c r="G604" i="1"/>
  <c r="Z604" i="1"/>
  <c r="AA604" i="1"/>
  <c r="AM604" i="1"/>
  <c r="AN604" i="1"/>
  <c r="BE604" i="1"/>
  <c r="BF604" i="1"/>
  <c r="BG604" i="1"/>
  <c r="BH604" i="1"/>
  <c r="BI604" i="1"/>
  <c r="BJ604" i="1"/>
  <c r="BK604" i="1"/>
  <c r="BL604" i="1"/>
  <c r="BM604" i="1"/>
  <c r="BN604" i="1"/>
  <c r="BO604" i="1"/>
  <c r="BP604" i="1"/>
  <c r="BQ604" i="1"/>
  <c r="BR604" i="1"/>
  <c r="BS604" i="1"/>
  <c r="BT604" i="1"/>
  <c r="BU604" i="1"/>
  <c r="BV604" i="1"/>
  <c r="BW604" i="1"/>
  <c r="CK604" i="1"/>
  <c r="CN604" i="1"/>
  <c r="CO604" i="1"/>
  <c r="CP604" i="1"/>
  <c r="CQ604" i="1"/>
  <c r="CR604" i="1"/>
  <c r="CS604" i="1"/>
  <c r="CT604" i="1"/>
  <c r="CU604" i="1"/>
  <c r="CV604" i="1"/>
  <c r="CW604" i="1"/>
  <c r="CX604" i="1"/>
  <c r="CY604" i="1"/>
  <c r="CZ604" i="1"/>
  <c r="DA604" i="1"/>
  <c r="DB604" i="1"/>
  <c r="DC604" i="1"/>
  <c r="DD604" i="1"/>
  <c r="DE604" i="1"/>
  <c r="DF604" i="1"/>
  <c r="DG604" i="1"/>
  <c r="DH604" i="1"/>
  <c r="DI604" i="1"/>
  <c r="DJ604" i="1"/>
  <c r="DK604" i="1"/>
  <c r="DL604" i="1"/>
  <c r="DM604" i="1"/>
  <c r="DN604" i="1"/>
  <c r="DO604" i="1"/>
  <c r="DP604" i="1"/>
  <c r="DQ604" i="1"/>
  <c r="DR604" i="1"/>
  <c r="DS604" i="1"/>
  <c r="DT604" i="1"/>
  <c r="DU604" i="1"/>
  <c r="DV604" i="1"/>
  <c r="DW604" i="1"/>
  <c r="DX604" i="1"/>
  <c r="DY604" i="1"/>
  <c r="DZ604" i="1"/>
  <c r="EA604" i="1"/>
  <c r="EB604" i="1"/>
  <c r="EC604" i="1"/>
  <c r="ED604" i="1"/>
  <c r="EE604" i="1"/>
  <c r="EF604" i="1"/>
  <c r="EG604" i="1"/>
  <c r="EH604" i="1"/>
  <c r="EI604" i="1"/>
  <c r="EJ604" i="1"/>
  <c r="EK604" i="1"/>
  <c r="EL604" i="1"/>
  <c r="EM604" i="1"/>
  <c r="EN604" i="1"/>
  <c r="EO604" i="1"/>
  <c r="EP604" i="1"/>
  <c r="EQ604" i="1"/>
  <c r="ER604" i="1"/>
  <c r="ES604" i="1"/>
  <c r="ET604" i="1"/>
  <c r="EU604" i="1"/>
  <c r="EV604" i="1"/>
  <c r="EW604" i="1"/>
  <c r="EX604" i="1"/>
  <c r="EY604" i="1"/>
  <c r="EZ604" i="1"/>
  <c r="FA604" i="1"/>
  <c r="FB604" i="1"/>
  <c r="FC604" i="1"/>
  <c r="FD604" i="1"/>
  <c r="FE604" i="1"/>
  <c r="FF604" i="1"/>
  <c r="FG604" i="1"/>
  <c r="FH604" i="1"/>
  <c r="FI604" i="1"/>
  <c r="FJ604" i="1"/>
  <c r="FK604" i="1"/>
  <c r="FL604" i="1"/>
  <c r="FM604" i="1"/>
  <c r="FN604" i="1"/>
  <c r="FO604" i="1"/>
  <c r="FP604" i="1"/>
  <c r="FQ604" i="1"/>
  <c r="FR604" i="1"/>
  <c r="FS604" i="1"/>
  <c r="FT604" i="1"/>
  <c r="FU604" i="1"/>
  <c r="FV604" i="1"/>
  <c r="FW604" i="1"/>
  <c r="FX604" i="1"/>
  <c r="FY604" i="1"/>
  <c r="FZ604" i="1"/>
  <c r="GA604" i="1"/>
  <c r="GB604" i="1"/>
  <c r="GC604" i="1"/>
  <c r="GD604" i="1"/>
  <c r="GE604" i="1"/>
  <c r="GF604" i="1"/>
  <c r="GG604" i="1"/>
  <c r="GH604" i="1"/>
  <c r="GI604" i="1"/>
  <c r="GJ604" i="1"/>
  <c r="GK604" i="1"/>
  <c r="GL604" i="1"/>
  <c r="GM604" i="1"/>
  <c r="GN604" i="1"/>
  <c r="GO604" i="1"/>
  <c r="GP604" i="1"/>
  <c r="GQ604" i="1"/>
  <c r="GR604" i="1"/>
  <c r="GS604" i="1"/>
  <c r="GT604" i="1"/>
  <c r="GU604" i="1"/>
  <c r="GV604" i="1"/>
  <c r="GW604" i="1"/>
  <c r="GX604" i="1"/>
  <c r="D606" i="1"/>
  <c r="I606" i="1"/>
  <c r="K606" i="1"/>
  <c r="W606" i="1"/>
  <c r="AC606" i="1"/>
  <c r="AE606" i="1"/>
  <c r="AF606" i="1"/>
  <c r="AG606" i="1"/>
  <c r="CU606" i="1" s="1"/>
  <c r="T606" i="1" s="1"/>
  <c r="AH606" i="1"/>
  <c r="AI606" i="1"/>
  <c r="CW606" i="1" s="1"/>
  <c r="AJ606" i="1"/>
  <c r="CX606" i="1" s="1"/>
  <c r="CQ606" i="1"/>
  <c r="CT606" i="1"/>
  <c r="S606" i="1" s="1"/>
  <c r="CV606" i="1"/>
  <c r="FR606" i="1"/>
  <c r="GL606" i="1"/>
  <c r="GN606" i="1"/>
  <c r="GO606" i="1"/>
  <c r="GV606" i="1"/>
  <c r="HC606" i="1"/>
  <c r="GX606" i="1" s="1"/>
  <c r="D607" i="1"/>
  <c r="I607" i="1"/>
  <c r="K607" i="1"/>
  <c r="AC607" i="1"/>
  <c r="CQ607" i="1" s="1"/>
  <c r="P607" i="1" s="1"/>
  <c r="AE607" i="1"/>
  <c r="AF607" i="1"/>
  <c r="AG607" i="1"/>
  <c r="CU607" i="1" s="1"/>
  <c r="T607" i="1" s="1"/>
  <c r="AH607" i="1"/>
  <c r="CV607" i="1" s="1"/>
  <c r="AI607" i="1"/>
  <c r="AJ607" i="1"/>
  <c r="CR607" i="1"/>
  <c r="CW607" i="1"/>
  <c r="V607" i="1" s="1"/>
  <c r="CX607" i="1"/>
  <c r="FR607" i="1"/>
  <c r="GL607" i="1"/>
  <c r="GN607" i="1"/>
  <c r="GO607" i="1"/>
  <c r="GV607" i="1"/>
  <c r="HC607" i="1" s="1"/>
  <c r="GX607" i="1" s="1"/>
  <c r="D608" i="1"/>
  <c r="I608" i="1"/>
  <c r="K608" i="1"/>
  <c r="AC608" i="1"/>
  <c r="AE608" i="1"/>
  <c r="AF608" i="1"/>
  <c r="CT608" i="1" s="1"/>
  <c r="S608" i="1" s="1"/>
  <c r="CY608" i="1" s="1"/>
  <c r="X608" i="1" s="1"/>
  <c r="AG608" i="1"/>
  <c r="CU608" i="1" s="1"/>
  <c r="T608" i="1" s="1"/>
  <c r="AH608" i="1"/>
  <c r="AI608" i="1"/>
  <c r="AJ608" i="1"/>
  <c r="CV608" i="1"/>
  <c r="U608" i="1" s="1"/>
  <c r="CW608" i="1"/>
  <c r="V608" i="1" s="1"/>
  <c r="CX608" i="1"/>
  <c r="W608" i="1" s="1"/>
  <c r="FR608" i="1"/>
  <c r="GL608" i="1"/>
  <c r="GN608" i="1"/>
  <c r="GO608" i="1"/>
  <c r="GV608" i="1"/>
  <c r="HC608" i="1" s="1"/>
  <c r="GX608" i="1" s="1"/>
  <c r="D609" i="1"/>
  <c r="I609" i="1"/>
  <c r="K609" i="1"/>
  <c r="U609" i="1"/>
  <c r="AC609" i="1"/>
  <c r="AE609" i="1"/>
  <c r="AF609" i="1"/>
  <c r="AG609" i="1"/>
  <c r="AH609" i="1"/>
  <c r="CV609" i="1" s="1"/>
  <c r="AI609" i="1"/>
  <c r="CW609" i="1" s="1"/>
  <c r="V609" i="1" s="1"/>
  <c r="AJ609" i="1"/>
  <c r="CX609" i="1" s="1"/>
  <c r="W609" i="1" s="1"/>
  <c r="CQ609" i="1"/>
  <c r="P609" i="1" s="1"/>
  <c r="CU609" i="1"/>
  <c r="T609" i="1" s="1"/>
  <c r="FR609" i="1"/>
  <c r="GL609" i="1"/>
  <c r="GN609" i="1"/>
  <c r="GO609" i="1"/>
  <c r="GV609" i="1"/>
  <c r="HC609" i="1" s="1"/>
  <c r="GX609" i="1" s="1"/>
  <c r="D610" i="1"/>
  <c r="I610" i="1"/>
  <c r="K610" i="1"/>
  <c r="T610" i="1"/>
  <c r="U610" i="1"/>
  <c r="AC610" i="1"/>
  <c r="AE610" i="1"/>
  <c r="AD610" i="1" s="1"/>
  <c r="AF610" i="1"/>
  <c r="CT610" i="1" s="1"/>
  <c r="S610" i="1" s="1"/>
  <c r="AG610" i="1"/>
  <c r="CU610" i="1" s="1"/>
  <c r="AH610" i="1"/>
  <c r="AI610" i="1"/>
  <c r="CW610" i="1" s="1"/>
  <c r="V610" i="1" s="1"/>
  <c r="AJ610" i="1"/>
  <c r="CX610" i="1" s="1"/>
  <c r="W610" i="1" s="1"/>
  <c r="CQ610" i="1"/>
  <c r="P610" i="1" s="1"/>
  <c r="CV610" i="1"/>
  <c r="FR610" i="1"/>
  <c r="GL610" i="1"/>
  <c r="GN610" i="1"/>
  <c r="GO610" i="1"/>
  <c r="GV610" i="1"/>
  <c r="HC610" i="1" s="1"/>
  <c r="GX610" i="1" s="1"/>
  <c r="D611" i="1"/>
  <c r="I611" i="1"/>
  <c r="K611" i="1"/>
  <c r="AC611" i="1"/>
  <c r="AE611" i="1"/>
  <c r="AF611" i="1"/>
  <c r="AG611" i="1"/>
  <c r="CU611" i="1" s="1"/>
  <c r="AH611" i="1"/>
  <c r="AI611" i="1"/>
  <c r="AJ611" i="1"/>
  <c r="CV611" i="1"/>
  <c r="U611" i="1" s="1"/>
  <c r="CW611" i="1"/>
  <c r="CX611" i="1"/>
  <c r="FR611" i="1"/>
  <c r="GL611" i="1"/>
  <c r="GN611" i="1"/>
  <c r="GO611" i="1"/>
  <c r="CC616" i="1" s="1"/>
  <c r="GV611" i="1"/>
  <c r="HC611" i="1"/>
  <c r="D612" i="1"/>
  <c r="I612" i="1"/>
  <c r="K612" i="1"/>
  <c r="T612" i="1"/>
  <c r="AB612" i="1"/>
  <c r="AC612" i="1"/>
  <c r="CQ612" i="1" s="1"/>
  <c r="P612" i="1" s="1"/>
  <c r="AE612" i="1"/>
  <c r="AD612" i="1" s="1"/>
  <c r="AF612" i="1"/>
  <c r="CT612" i="1" s="1"/>
  <c r="S612" i="1" s="1"/>
  <c r="CZ612" i="1" s="1"/>
  <c r="Y612" i="1" s="1"/>
  <c r="AG612" i="1"/>
  <c r="CU612" i="1" s="1"/>
  <c r="AH612" i="1"/>
  <c r="AI612" i="1"/>
  <c r="AJ612" i="1"/>
  <c r="CX612" i="1" s="1"/>
  <c r="W612" i="1" s="1"/>
  <c r="CV612" i="1"/>
  <c r="U612" i="1" s="1"/>
  <c r="CW612" i="1"/>
  <c r="V612" i="1" s="1"/>
  <c r="FR612" i="1"/>
  <c r="GL612" i="1"/>
  <c r="GN612" i="1"/>
  <c r="GO612" i="1"/>
  <c r="GV612" i="1"/>
  <c r="HC612" i="1"/>
  <c r="D613" i="1"/>
  <c r="T613" i="1"/>
  <c r="U613" i="1"/>
  <c r="V613" i="1"/>
  <c r="AC613" i="1"/>
  <c r="AD613" i="1"/>
  <c r="AB613" i="1" s="1"/>
  <c r="AE613" i="1"/>
  <c r="AF613" i="1"/>
  <c r="CT613" i="1" s="1"/>
  <c r="S613" i="1" s="1"/>
  <c r="AG613" i="1"/>
  <c r="CU613" i="1" s="1"/>
  <c r="AH613" i="1"/>
  <c r="CV613" i="1" s="1"/>
  <c r="AI613" i="1"/>
  <c r="CW613" i="1" s="1"/>
  <c r="AJ613" i="1"/>
  <c r="CX613" i="1" s="1"/>
  <c r="W613" i="1" s="1"/>
  <c r="CQ613" i="1"/>
  <c r="P613" i="1" s="1"/>
  <c r="CP613" i="1" s="1"/>
  <c r="O613" i="1" s="1"/>
  <c r="CR613" i="1"/>
  <c r="Q613" i="1" s="1"/>
  <c r="CS613" i="1"/>
  <c r="R613" i="1" s="1"/>
  <c r="GK613" i="1" s="1"/>
  <c r="FR613" i="1"/>
  <c r="GL613" i="1"/>
  <c r="GN613" i="1"/>
  <c r="GO613" i="1"/>
  <c r="GV613" i="1"/>
  <c r="HC613" i="1" s="1"/>
  <c r="GX613" i="1" s="1"/>
  <c r="D614" i="1"/>
  <c r="AC614" i="1"/>
  <c r="CQ614" i="1" s="1"/>
  <c r="P614" i="1" s="1"/>
  <c r="AE614" i="1"/>
  <c r="CS614" i="1" s="1"/>
  <c r="R614" i="1" s="1"/>
  <c r="GK614" i="1" s="1"/>
  <c r="AF614" i="1"/>
  <c r="CT614" i="1" s="1"/>
  <c r="S614" i="1" s="1"/>
  <c r="AG614" i="1"/>
  <c r="CU614" i="1" s="1"/>
  <c r="T614" i="1" s="1"/>
  <c r="AH614" i="1"/>
  <c r="CV614" i="1" s="1"/>
  <c r="U614" i="1" s="1"/>
  <c r="AI614" i="1"/>
  <c r="AJ614" i="1"/>
  <c r="CR614" i="1"/>
  <c r="Q614" i="1" s="1"/>
  <c r="CW614" i="1"/>
  <c r="V614" i="1" s="1"/>
  <c r="CX614" i="1"/>
  <c r="W614" i="1" s="1"/>
  <c r="FR614" i="1"/>
  <c r="GL614" i="1"/>
  <c r="GN614" i="1"/>
  <c r="GO614" i="1"/>
  <c r="GV614" i="1"/>
  <c r="HC614" i="1"/>
  <c r="GX614" i="1" s="1"/>
  <c r="B616" i="1"/>
  <c r="B604" i="1" s="1"/>
  <c r="C616" i="1"/>
  <c r="D616" i="1"/>
  <c r="D604" i="1" s="1"/>
  <c r="F616" i="1"/>
  <c r="F604" i="1" s="1"/>
  <c r="G616" i="1"/>
  <c r="BX616" i="1"/>
  <c r="AO616" i="1" s="1"/>
  <c r="CB616" i="1"/>
  <c r="CB604" i="1" s="1"/>
  <c r="CK616" i="1"/>
  <c r="BB616" i="1" s="1"/>
  <c r="BB604" i="1" s="1"/>
  <c r="CL616" i="1"/>
  <c r="CM616" i="1"/>
  <c r="CM604" i="1" s="1"/>
  <c r="F629" i="1"/>
  <c r="D646" i="1"/>
  <c r="E648" i="1"/>
  <c r="Z648" i="1"/>
  <c r="AA648" i="1"/>
  <c r="AM648" i="1"/>
  <c r="AN648" i="1"/>
  <c r="BE648" i="1"/>
  <c r="BF648" i="1"/>
  <c r="BG648" i="1"/>
  <c r="BH648" i="1"/>
  <c r="BI648" i="1"/>
  <c r="BJ648" i="1"/>
  <c r="BK648" i="1"/>
  <c r="BL648" i="1"/>
  <c r="BM648" i="1"/>
  <c r="BN648" i="1"/>
  <c r="BO648" i="1"/>
  <c r="BP648" i="1"/>
  <c r="BQ648" i="1"/>
  <c r="BR648" i="1"/>
  <c r="BS648" i="1"/>
  <c r="BT648" i="1"/>
  <c r="BU648" i="1"/>
  <c r="BV648" i="1"/>
  <c r="BW648" i="1"/>
  <c r="CL648" i="1"/>
  <c r="CN648" i="1"/>
  <c r="CO648" i="1"/>
  <c r="CP648" i="1"/>
  <c r="CQ648" i="1"/>
  <c r="CR648" i="1"/>
  <c r="CS648" i="1"/>
  <c r="CT648" i="1"/>
  <c r="CU648" i="1"/>
  <c r="CV648" i="1"/>
  <c r="CW648" i="1"/>
  <c r="CX648" i="1"/>
  <c r="CY648" i="1"/>
  <c r="CZ648" i="1"/>
  <c r="DA648" i="1"/>
  <c r="DB648" i="1"/>
  <c r="DC648" i="1"/>
  <c r="DD648" i="1"/>
  <c r="DE648" i="1"/>
  <c r="DF648" i="1"/>
  <c r="DG648" i="1"/>
  <c r="DH648" i="1"/>
  <c r="DI648" i="1"/>
  <c r="DJ648" i="1"/>
  <c r="DK648" i="1"/>
  <c r="DL648" i="1"/>
  <c r="DM648" i="1"/>
  <c r="DN648" i="1"/>
  <c r="DO648" i="1"/>
  <c r="DP648" i="1"/>
  <c r="DQ648" i="1"/>
  <c r="DR648" i="1"/>
  <c r="DS648" i="1"/>
  <c r="DT648" i="1"/>
  <c r="DU648" i="1"/>
  <c r="DV648" i="1"/>
  <c r="DW648" i="1"/>
  <c r="DX648" i="1"/>
  <c r="DY648" i="1"/>
  <c r="DZ648" i="1"/>
  <c r="EA648" i="1"/>
  <c r="EB648" i="1"/>
  <c r="EC648" i="1"/>
  <c r="ED648" i="1"/>
  <c r="EE648" i="1"/>
  <c r="EF648" i="1"/>
  <c r="EG648" i="1"/>
  <c r="EH648" i="1"/>
  <c r="EI648" i="1"/>
  <c r="EJ648" i="1"/>
  <c r="EK648" i="1"/>
  <c r="EL648" i="1"/>
  <c r="EM648" i="1"/>
  <c r="EN648" i="1"/>
  <c r="EO648" i="1"/>
  <c r="EP648" i="1"/>
  <c r="EQ648" i="1"/>
  <c r="ER648" i="1"/>
  <c r="ES648" i="1"/>
  <c r="ET648" i="1"/>
  <c r="EU648" i="1"/>
  <c r="EV648" i="1"/>
  <c r="EW648" i="1"/>
  <c r="EX648" i="1"/>
  <c r="EY648" i="1"/>
  <c r="EZ648" i="1"/>
  <c r="FA648" i="1"/>
  <c r="FB648" i="1"/>
  <c r="FC648" i="1"/>
  <c r="FD648" i="1"/>
  <c r="FE648" i="1"/>
  <c r="FF648" i="1"/>
  <c r="FG648" i="1"/>
  <c r="FH648" i="1"/>
  <c r="FI648" i="1"/>
  <c r="FJ648" i="1"/>
  <c r="FK648" i="1"/>
  <c r="FL648" i="1"/>
  <c r="FM648" i="1"/>
  <c r="FN648" i="1"/>
  <c r="FO648" i="1"/>
  <c r="FP648" i="1"/>
  <c r="FQ648" i="1"/>
  <c r="FR648" i="1"/>
  <c r="FS648" i="1"/>
  <c r="FT648" i="1"/>
  <c r="FU648" i="1"/>
  <c r="FV648" i="1"/>
  <c r="FW648" i="1"/>
  <c r="FX648" i="1"/>
  <c r="FY648" i="1"/>
  <c r="FZ648" i="1"/>
  <c r="GA648" i="1"/>
  <c r="GB648" i="1"/>
  <c r="GC648" i="1"/>
  <c r="GD648" i="1"/>
  <c r="GE648" i="1"/>
  <c r="GF648" i="1"/>
  <c r="GG648" i="1"/>
  <c r="GH648" i="1"/>
  <c r="GI648" i="1"/>
  <c r="GJ648" i="1"/>
  <c r="GK648" i="1"/>
  <c r="GL648" i="1"/>
  <c r="GM648" i="1"/>
  <c r="GN648" i="1"/>
  <c r="GO648" i="1"/>
  <c r="GP648" i="1"/>
  <c r="GQ648" i="1"/>
  <c r="GR648" i="1"/>
  <c r="GS648" i="1"/>
  <c r="GT648" i="1"/>
  <c r="GU648" i="1"/>
  <c r="GV648" i="1"/>
  <c r="GW648" i="1"/>
  <c r="GX648" i="1"/>
  <c r="D651" i="1"/>
  <c r="I651" i="1"/>
  <c r="K651" i="1"/>
  <c r="AC651" i="1"/>
  <c r="CQ651" i="1" s="1"/>
  <c r="AE651" i="1"/>
  <c r="AF651" i="1"/>
  <c r="AG651" i="1"/>
  <c r="CU651" i="1" s="1"/>
  <c r="AH651" i="1"/>
  <c r="AI651" i="1"/>
  <c r="AJ651" i="1"/>
  <c r="CX651" i="1" s="1"/>
  <c r="CV651" i="1"/>
  <c r="CW651" i="1"/>
  <c r="FR651" i="1"/>
  <c r="GL651" i="1"/>
  <c r="GN651" i="1"/>
  <c r="GO651" i="1"/>
  <c r="GV651" i="1"/>
  <c r="HC651" i="1"/>
  <c r="D652" i="1"/>
  <c r="I652" i="1"/>
  <c r="K652" i="1"/>
  <c r="AC652" i="1"/>
  <c r="CQ652" i="1" s="1"/>
  <c r="P652" i="1" s="1"/>
  <c r="AE652" i="1"/>
  <c r="AF652" i="1"/>
  <c r="CT652" i="1" s="1"/>
  <c r="S652" i="1" s="1"/>
  <c r="CY652" i="1" s="1"/>
  <c r="X652" i="1" s="1"/>
  <c r="AG652" i="1"/>
  <c r="CU652" i="1" s="1"/>
  <c r="T652" i="1" s="1"/>
  <c r="AH652" i="1"/>
  <c r="CV652" i="1" s="1"/>
  <c r="U652" i="1" s="1"/>
  <c r="AI652" i="1"/>
  <c r="CW652" i="1" s="1"/>
  <c r="V652" i="1" s="1"/>
  <c r="AJ652" i="1"/>
  <c r="CX652" i="1" s="1"/>
  <c r="W652" i="1" s="1"/>
  <c r="FR652" i="1"/>
  <c r="GL652" i="1"/>
  <c r="GN652" i="1"/>
  <c r="GO652" i="1"/>
  <c r="GV652" i="1"/>
  <c r="HC652" i="1"/>
  <c r="GX652" i="1" s="1"/>
  <c r="D653" i="1"/>
  <c r="I653" i="1"/>
  <c r="K653" i="1"/>
  <c r="Q653" i="1"/>
  <c r="AC653" i="1"/>
  <c r="AE653" i="1"/>
  <c r="AD653" i="1" s="1"/>
  <c r="AF653" i="1"/>
  <c r="AG653" i="1"/>
  <c r="AH653" i="1"/>
  <c r="CV653" i="1" s="1"/>
  <c r="AI653" i="1"/>
  <c r="CW653" i="1" s="1"/>
  <c r="AJ653" i="1"/>
  <c r="CX653" i="1" s="1"/>
  <c r="CQ653" i="1"/>
  <c r="P653" i="1" s="1"/>
  <c r="CR653" i="1"/>
  <c r="CS653" i="1"/>
  <c r="R653" i="1" s="1"/>
  <c r="GK653" i="1" s="1"/>
  <c r="CT653" i="1"/>
  <c r="S653" i="1" s="1"/>
  <c r="CU653" i="1"/>
  <c r="T653" i="1" s="1"/>
  <c r="FR653" i="1"/>
  <c r="GL653" i="1"/>
  <c r="GN653" i="1"/>
  <c r="GO653" i="1"/>
  <c r="GV653" i="1"/>
  <c r="HC653" i="1"/>
  <c r="D654" i="1"/>
  <c r="I654" i="1"/>
  <c r="K654" i="1"/>
  <c r="AC654" i="1"/>
  <c r="CQ654" i="1" s="1"/>
  <c r="P654" i="1" s="1"/>
  <c r="AD654" i="1"/>
  <c r="AE654" i="1"/>
  <c r="AF654" i="1"/>
  <c r="CT654" i="1" s="1"/>
  <c r="S654" i="1" s="1"/>
  <c r="AG654" i="1"/>
  <c r="AH654" i="1"/>
  <c r="AI654" i="1"/>
  <c r="AJ654" i="1"/>
  <c r="CU654" i="1"/>
  <c r="T654" i="1" s="1"/>
  <c r="CV654" i="1"/>
  <c r="U654" i="1" s="1"/>
  <c r="CW654" i="1"/>
  <c r="V654" i="1" s="1"/>
  <c r="CX654" i="1"/>
  <c r="W654" i="1" s="1"/>
  <c r="FR654" i="1"/>
  <c r="GL654" i="1"/>
  <c r="GN654" i="1"/>
  <c r="GO654" i="1"/>
  <c r="GV654" i="1"/>
  <c r="HC654" i="1" s="1"/>
  <c r="D655" i="1"/>
  <c r="I655" i="1"/>
  <c r="K655" i="1"/>
  <c r="AC655" i="1"/>
  <c r="CQ655" i="1" s="1"/>
  <c r="P655" i="1" s="1"/>
  <c r="AE655" i="1"/>
  <c r="AF655" i="1"/>
  <c r="AG655" i="1"/>
  <c r="CU655" i="1" s="1"/>
  <c r="T655" i="1" s="1"/>
  <c r="AH655" i="1"/>
  <c r="CV655" i="1" s="1"/>
  <c r="AI655" i="1"/>
  <c r="CW655" i="1" s="1"/>
  <c r="AJ655" i="1"/>
  <c r="CX655" i="1" s="1"/>
  <c r="FR655" i="1"/>
  <c r="GL655" i="1"/>
  <c r="GN655" i="1"/>
  <c r="GO655" i="1"/>
  <c r="GV655" i="1"/>
  <c r="HC655" i="1" s="1"/>
  <c r="D656" i="1"/>
  <c r="I656" i="1"/>
  <c r="V656" i="1" s="1"/>
  <c r="K656" i="1"/>
  <c r="AC656" i="1"/>
  <c r="AB656" i="1" s="1"/>
  <c r="AE656" i="1"/>
  <c r="AD656" i="1" s="1"/>
  <c r="AF656" i="1"/>
  <c r="AG656" i="1"/>
  <c r="CU656" i="1" s="1"/>
  <c r="AH656" i="1"/>
  <c r="AI656" i="1"/>
  <c r="CW656" i="1" s="1"/>
  <c r="AJ656" i="1"/>
  <c r="CX656" i="1" s="1"/>
  <c r="CR656" i="1"/>
  <c r="CS656" i="1"/>
  <c r="CT656" i="1"/>
  <c r="S656" i="1" s="1"/>
  <c r="CV656" i="1"/>
  <c r="FR656" i="1"/>
  <c r="GL656" i="1"/>
  <c r="GN656" i="1"/>
  <c r="GO656" i="1"/>
  <c r="GV656" i="1"/>
  <c r="HC656" i="1" s="1"/>
  <c r="D657" i="1"/>
  <c r="I657" i="1"/>
  <c r="K657" i="1"/>
  <c r="AC657" i="1"/>
  <c r="CQ657" i="1" s="1"/>
  <c r="AE657" i="1"/>
  <c r="AF657" i="1"/>
  <c r="AG657" i="1"/>
  <c r="CU657" i="1" s="1"/>
  <c r="AH657" i="1"/>
  <c r="AI657" i="1"/>
  <c r="CW657" i="1" s="1"/>
  <c r="AJ657" i="1"/>
  <c r="CX657" i="1" s="1"/>
  <c r="CV657" i="1"/>
  <c r="FR657" i="1"/>
  <c r="GL657" i="1"/>
  <c r="GN657" i="1"/>
  <c r="GO657" i="1"/>
  <c r="GV657" i="1"/>
  <c r="HC657" i="1" s="1"/>
  <c r="D658" i="1"/>
  <c r="I658" i="1"/>
  <c r="K658" i="1"/>
  <c r="AC658" i="1"/>
  <c r="CQ658" i="1" s="1"/>
  <c r="AD658" i="1"/>
  <c r="AE658" i="1"/>
  <c r="CR658" i="1" s="1"/>
  <c r="AF658" i="1"/>
  <c r="AG658" i="1"/>
  <c r="CU658" i="1" s="1"/>
  <c r="AH658" i="1"/>
  <c r="CV658" i="1" s="1"/>
  <c r="AI658" i="1"/>
  <c r="CW658" i="1" s="1"/>
  <c r="AJ658" i="1"/>
  <c r="CX658" i="1" s="1"/>
  <c r="CS658" i="1"/>
  <c r="CT658" i="1"/>
  <c r="FR658" i="1"/>
  <c r="GL658" i="1"/>
  <c r="GN658" i="1"/>
  <c r="GO658" i="1"/>
  <c r="GV658" i="1"/>
  <c r="HC658" i="1"/>
  <c r="D659" i="1"/>
  <c r="I659" i="1"/>
  <c r="K659" i="1"/>
  <c r="AC659" i="1"/>
  <c r="CQ659" i="1" s="1"/>
  <c r="AE659" i="1"/>
  <c r="AF659" i="1"/>
  <c r="AG659" i="1"/>
  <c r="CU659" i="1" s="1"/>
  <c r="T659" i="1" s="1"/>
  <c r="AH659" i="1"/>
  <c r="CV659" i="1" s="1"/>
  <c r="U659" i="1" s="1"/>
  <c r="AI659" i="1"/>
  <c r="CW659" i="1" s="1"/>
  <c r="V659" i="1" s="1"/>
  <c r="AJ659" i="1"/>
  <c r="CX659" i="1"/>
  <c r="W659" i="1" s="1"/>
  <c r="FR659" i="1"/>
  <c r="GL659" i="1"/>
  <c r="GN659" i="1"/>
  <c r="GO659" i="1"/>
  <c r="GV659" i="1"/>
  <c r="HC659" i="1"/>
  <c r="GX659" i="1" s="1"/>
  <c r="D660" i="1"/>
  <c r="I660" i="1"/>
  <c r="K660" i="1"/>
  <c r="AC660" i="1"/>
  <c r="CQ660" i="1" s="1"/>
  <c r="P660" i="1" s="1"/>
  <c r="AE660" i="1"/>
  <c r="AF660" i="1"/>
  <c r="AG660" i="1"/>
  <c r="CU660" i="1" s="1"/>
  <c r="AH660" i="1"/>
  <c r="CV660" i="1" s="1"/>
  <c r="AI660" i="1"/>
  <c r="CW660" i="1" s="1"/>
  <c r="AJ660" i="1"/>
  <c r="CX660" i="1" s="1"/>
  <c r="FR660" i="1"/>
  <c r="GL660" i="1"/>
  <c r="GN660" i="1"/>
  <c r="GO660" i="1"/>
  <c r="GV660" i="1"/>
  <c r="HC660" i="1" s="1"/>
  <c r="D662" i="1"/>
  <c r="I662" i="1"/>
  <c r="K662" i="1"/>
  <c r="V662" i="1"/>
  <c r="W662" i="1"/>
  <c r="AC662" i="1"/>
  <c r="AE662" i="1"/>
  <c r="AF662" i="1"/>
  <c r="AG662" i="1"/>
  <c r="AH662" i="1"/>
  <c r="AI662" i="1"/>
  <c r="CW662" i="1" s="1"/>
  <c r="AJ662" i="1"/>
  <c r="CX662" i="1" s="1"/>
  <c r="CQ662" i="1"/>
  <c r="P662" i="1" s="1"/>
  <c r="CU662" i="1"/>
  <c r="T662" i="1" s="1"/>
  <c r="CV662" i="1"/>
  <c r="U662" i="1" s="1"/>
  <c r="FR662" i="1"/>
  <c r="GL662" i="1"/>
  <c r="GN662" i="1"/>
  <c r="GO662" i="1"/>
  <c r="GV662" i="1"/>
  <c r="HC662" i="1"/>
  <c r="D663" i="1"/>
  <c r="I663" i="1"/>
  <c r="K663" i="1"/>
  <c r="AC663" i="1"/>
  <c r="CQ663" i="1" s="1"/>
  <c r="AE663" i="1"/>
  <c r="AD663" i="1" s="1"/>
  <c r="AF663" i="1"/>
  <c r="AG663" i="1"/>
  <c r="AH663" i="1"/>
  <c r="AI663" i="1"/>
  <c r="CW663" i="1" s="1"/>
  <c r="V663" i="1" s="1"/>
  <c r="AJ663" i="1"/>
  <c r="CX663" i="1" s="1"/>
  <c r="CU663" i="1"/>
  <c r="T663" i="1" s="1"/>
  <c r="CV663" i="1"/>
  <c r="U663" i="1" s="1"/>
  <c r="FR663" i="1"/>
  <c r="GL663" i="1"/>
  <c r="GN663" i="1"/>
  <c r="GO663" i="1"/>
  <c r="GV663" i="1"/>
  <c r="HC663" i="1" s="1"/>
  <c r="D664" i="1"/>
  <c r="I664" i="1"/>
  <c r="K664" i="1"/>
  <c r="AC664" i="1"/>
  <c r="CQ664" i="1" s="1"/>
  <c r="P664" i="1" s="1"/>
  <c r="AE664" i="1"/>
  <c r="AF664" i="1"/>
  <c r="AG664" i="1"/>
  <c r="CU664" i="1" s="1"/>
  <c r="T664" i="1" s="1"/>
  <c r="AH664" i="1"/>
  <c r="CV664" i="1" s="1"/>
  <c r="AI664" i="1"/>
  <c r="CW664" i="1" s="1"/>
  <c r="V664" i="1" s="1"/>
  <c r="AJ664" i="1"/>
  <c r="CX664" i="1" s="1"/>
  <c r="FR664" i="1"/>
  <c r="GL664" i="1"/>
  <c r="GN664" i="1"/>
  <c r="GO664" i="1"/>
  <c r="GV664" i="1"/>
  <c r="HC664" i="1" s="1"/>
  <c r="D666" i="1"/>
  <c r="I666" i="1"/>
  <c r="K666" i="1"/>
  <c r="AC666" i="1"/>
  <c r="AE666" i="1"/>
  <c r="AF666" i="1"/>
  <c r="AG666" i="1"/>
  <c r="CU666" i="1" s="1"/>
  <c r="AH666" i="1"/>
  <c r="AI666" i="1"/>
  <c r="CW666" i="1" s="1"/>
  <c r="AJ666" i="1"/>
  <c r="CX666" i="1" s="1"/>
  <c r="W666" i="1" s="1"/>
  <c r="CQ666" i="1"/>
  <c r="P666" i="1" s="1"/>
  <c r="CR666" i="1"/>
  <c r="Q666" i="1" s="1"/>
  <c r="CS666" i="1"/>
  <c r="CV666" i="1"/>
  <c r="FR666" i="1"/>
  <c r="GL666" i="1"/>
  <c r="GN666" i="1"/>
  <c r="GO666" i="1"/>
  <c r="GV666" i="1"/>
  <c r="HC666" i="1" s="1"/>
  <c r="D667" i="1"/>
  <c r="I667" i="1"/>
  <c r="K667" i="1"/>
  <c r="Q667" i="1"/>
  <c r="AC667" i="1"/>
  <c r="CQ667" i="1" s="1"/>
  <c r="AE667" i="1"/>
  <c r="AD667" i="1" s="1"/>
  <c r="AF667" i="1"/>
  <c r="CT667" i="1" s="1"/>
  <c r="AG667" i="1"/>
  <c r="CU667" i="1" s="1"/>
  <c r="AH667" i="1"/>
  <c r="AI667" i="1"/>
  <c r="CW667" i="1" s="1"/>
  <c r="AJ667" i="1"/>
  <c r="CR667" i="1"/>
  <c r="CS667" i="1"/>
  <c r="R667" i="1" s="1"/>
  <c r="GK667" i="1" s="1"/>
  <c r="CV667" i="1"/>
  <c r="U667" i="1" s="1"/>
  <c r="CX667" i="1"/>
  <c r="W667" i="1" s="1"/>
  <c r="FR667" i="1"/>
  <c r="GL667" i="1"/>
  <c r="GN667" i="1"/>
  <c r="GO667" i="1"/>
  <c r="GV667" i="1"/>
  <c r="HC667" i="1" s="1"/>
  <c r="D668" i="1"/>
  <c r="I668" i="1"/>
  <c r="K668" i="1"/>
  <c r="AC668" i="1"/>
  <c r="CQ668" i="1" s="1"/>
  <c r="P668" i="1" s="1"/>
  <c r="AE668" i="1"/>
  <c r="CS668" i="1" s="1"/>
  <c r="AF668" i="1"/>
  <c r="AG668" i="1"/>
  <c r="CU668" i="1" s="1"/>
  <c r="AH668" i="1"/>
  <c r="CV668" i="1" s="1"/>
  <c r="AI668" i="1"/>
  <c r="CW668" i="1" s="1"/>
  <c r="V668" i="1" s="1"/>
  <c r="AJ668" i="1"/>
  <c r="CX668" i="1"/>
  <c r="FR668" i="1"/>
  <c r="GL668" i="1"/>
  <c r="GN668" i="1"/>
  <c r="GO668" i="1"/>
  <c r="GV668" i="1"/>
  <c r="HC668" i="1" s="1"/>
  <c r="D669" i="1"/>
  <c r="I669" i="1"/>
  <c r="K669" i="1"/>
  <c r="AC669" i="1"/>
  <c r="CQ669" i="1" s="1"/>
  <c r="P669" i="1" s="1"/>
  <c r="AD669" i="1"/>
  <c r="AE669" i="1"/>
  <c r="CR669" i="1" s="1"/>
  <c r="Q669" i="1" s="1"/>
  <c r="AF669" i="1"/>
  <c r="AG669" i="1"/>
  <c r="CU669" i="1" s="1"/>
  <c r="T669" i="1" s="1"/>
  <c r="AH669" i="1"/>
  <c r="AI669" i="1"/>
  <c r="CW669" i="1" s="1"/>
  <c r="V669" i="1" s="1"/>
  <c r="AJ669" i="1"/>
  <c r="CX669" i="1" s="1"/>
  <c r="W669" i="1" s="1"/>
  <c r="CT669" i="1"/>
  <c r="S669" i="1" s="1"/>
  <c r="CV669" i="1"/>
  <c r="U669" i="1" s="1"/>
  <c r="FR669" i="1"/>
  <c r="GL669" i="1"/>
  <c r="GN669" i="1"/>
  <c r="GO669" i="1"/>
  <c r="GV669" i="1"/>
  <c r="HC669" i="1"/>
  <c r="GX669" i="1" s="1"/>
  <c r="D670" i="1"/>
  <c r="I670" i="1"/>
  <c r="K670" i="1"/>
  <c r="V670" i="1"/>
  <c r="AC670" i="1"/>
  <c r="CQ670" i="1" s="1"/>
  <c r="AE670" i="1"/>
  <c r="AF670" i="1"/>
  <c r="AG670" i="1"/>
  <c r="AH670" i="1"/>
  <c r="CV670" i="1" s="1"/>
  <c r="U670" i="1" s="1"/>
  <c r="AI670" i="1"/>
  <c r="AJ670" i="1"/>
  <c r="CX670" i="1" s="1"/>
  <c r="CU670" i="1"/>
  <c r="CW670" i="1"/>
  <c r="FR670" i="1"/>
  <c r="GL670" i="1"/>
  <c r="GN670" i="1"/>
  <c r="GO670" i="1"/>
  <c r="GV670" i="1"/>
  <c r="HC670" i="1"/>
  <c r="D671" i="1"/>
  <c r="I671" i="1"/>
  <c r="K671" i="1"/>
  <c r="AC671" i="1"/>
  <c r="CQ671" i="1" s="1"/>
  <c r="P671" i="1" s="1"/>
  <c r="AE671" i="1"/>
  <c r="AD671" i="1" s="1"/>
  <c r="AF671" i="1"/>
  <c r="CT671" i="1" s="1"/>
  <c r="S671" i="1" s="1"/>
  <c r="AG671" i="1"/>
  <c r="CU671" i="1" s="1"/>
  <c r="T671" i="1" s="1"/>
  <c r="AH671" i="1"/>
  <c r="CV671" i="1" s="1"/>
  <c r="U671" i="1" s="1"/>
  <c r="AI671" i="1"/>
  <c r="CW671" i="1" s="1"/>
  <c r="V671" i="1" s="1"/>
  <c r="AJ671" i="1"/>
  <c r="CX671" i="1" s="1"/>
  <c r="W671" i="1" s="1"/>
  <c r="CS671" i="1"/>
  <c r="R671" i="1" s="1"/>
  <c r="GK671" i="1" s="1"/>
  <c r="FR671" i="1"/>
  <c r="GL671" i="1"/>
  <c r="GN671" i="1"/>
  <c r="GO671" i="1"/>
  <c r="GV671" i="1"/>
  <c r="HC671" i="1"/>
  <c r="GX671" i="1" s="1"/>
  <c r="D672" i="1"/>
  <c r="I672" i="1"/>
  <c r="K672" i="1"/>
  <c r="AC672" i="1"/>
  <c r="CQ672" i="1" s="1"/>
  <c r="AE672" i="1"/>
  <c r="CR672" i="1" s="1"/>
  <c r="AF672" i="1"/>
  <c r="AG672" i="1"/>
  <c r="AH672" i="1"/>
  <c r="AI672" i="1"/>
  <c r="AJ672" i="1"/>
  <c r="CT672" i="1"/>
  <c r="CU672" i="1"/>
  <c r="CV672" i="1"/>
  <c r="CW672" i="1"/>
  <c r="CX672" i="1"/>
  <c r="W672" i="1" s="1"/>
  <c r="FR672" i="1"/>
  <c r="GL672" i="1"/>
  <c r="GN672" i="1"/>
  <c r="GO672" i="1"/>
  <c r="GV672" i="1"/>
  <c r="HC672" i="1"/>
  <c r="D673" i="1"/>
  <c r="I673" i="1"/>
  <c r="K673" i="1"/>
  <c r="AC673" i="1"/>
  <c r="CQ673" i="1" s="1"/>
  <c r="AE673" i="1"/>
  <c r="AD673" i="1" s="1"/>
  <c r="AF673" i="1"/>
  <c r="CT673" i="1" s="1"/>
  <c r="AG673" i="1"/>
  <c r="CU673" i="1" s="1"/>
  <c r="AH673" i="1"/>
  <c r="CV673" i="1" s="1"/>
  <c r="AI673" i="1"/>
  <c r="CW673" i="1" s="1"/>
  <c r="AJ673" i="1"/>
  <c r="CX673" i="1"/>
  <c r="FR673" i="1"/>
  <c r="GL673" i="1"/>
  <c r="GN673" i="1"/>
  <c r="GO673" i="1"/>
  <c r="GV673" i="1"/>
  <c r="HC673" i="1"/>
  <c r="D675" i="1"/>
  <c r="I675" i="1"/>
  <c r="K675" i="1"/>
  <c r="AC675" i="1"/>
  <c r="CQ675" i="1" s="1"/>
  <c r="P675" i="1" s="1"/>
  <c r="AD675" i="1"/>
  <c r="AE675" i="1"/>
  <c r="AF675" i="1"/>
  <c r="AG675" i="1"/>
  <c r="CU675" i="1" s="1"/>
  <c r="T675" i="1" s="1"/>
  <c r="AH675" i="1"/>
  <c r="AI675" i="1"/>
  <c r="AJ675" i="1"/>
  <c r="CX675" i="1" s="1"/>
  <c r="W675" i="1" s="1"/>
  <c r="CV675" i="1"/>
  <c r="U675" i="1" s="1"/>
  <c r="CW675" i="1"/>
  <c r="V675" i="1" s="1"/>
  <c r="FR675" i="1"/>
  <c r="GL675" i="1"/>
  <c r="GN675" i="1"/>
  <c r="GO675" i="1"/>
  <c r="GV675" i="1"/>
  <c r="HC675" i="1" s="1"/>
  <c r="D676" i="1"/>
  <c r="I676" i="1"/>
  <c r="K676" i="1"/>
  <c r="AC676" i="1"/>
  <c r="CQ676" i="1" s="1"/>
  <c r="P676" i="1" s="1"/>
  <c r="AE676" i="1"/>
  <c r="CS676" i="1" s="1"/>
  <c r="AF676" i="1"/>
  <c r="CT676" i="1" s="1"/>
  <c r="S676" i="1" s="1"/>
  <c r="AG676" i="1"/>
  <c r="CU676" i="1" s="1"/>
  <c r="T676" i="1" s="1"/>
  <c r="AH676" i="1"/>
  <c r="CV676" i="1" s="1"/>
  <c r="U676" i="1" s="1"/>
  <c r="AI676" i="1"/>
  <c r="CW676" i="1" s="1"/>
  <c r="V676" i="1" s="1"/>
  <c r="AJ676" i="1"/>
  <c r="CX676" i="1" s="1"/>
  <c r="W676" i="1" s="1"/>
  <c r="FR676" i="1"/>
  <c r="GL676" i="1"/>
  <c r="GN676" i="1"/>
  <c r="GO676" i="1"/>
  <c r="GV676" i="1"/>
  <c r="HC676" i="1" s="1"/>
  <c r="D677" i="1"/>
  <c r="I677" i="1"/>
  <c r="K677" i="1"/>
  <c r="AC677" i="1"/>
  <c r="CQ677" i="1" s="1"/>
  <c r="P677" i="1" s="1"/>
  <c r="AE677" i="1"/>
  <c r="AF677" i="1"/>
  <c r="AG677" i="1"/>
  <c r="AH677" i="1"/>
  <c r="AI677" i="1"/>
  <c r="CW677" i="1" s="1"/>
  <c r="V677" i="1" s="1"/>
  <c r="AJ677" i="1"/>
  <c r="CX677" i="1" s="1"/>
  <c r="W677" i="1" s="1"/>
  <c r="CR677" i="1"/>
  <c r="CS677" i="1"/>
  <c r="CT677" i="1"/>
  <c r="CU677" i="1"/>
  <c r="T677" i="1" s="1"/>
  <c r="CV677" i="1"/>
  <c r="U677" i="1" s="1"/>
  <c r="FR677" i="1"/>
  <c r="GL677" i="1"/>
  <c r="GN677" i="1"/>
  <c r="GO677" i="1"/>
  <c r="GV677" i="1"/>
  <c r="HC677" i="1" s="1"/>
  <c r="D678" i="1"/>
  <c r="I678" i="1"/>
  <c r="K678" i="1"/>
  <c r="AC678" i="1"/>
  <c r="CQ678" i="1" s="1"/>
  <c r="P678" i="1" s="1"/>
  <c r="AE678" i="1"/>
  <c r="CR678" i="1" s="1"/>
  <c r="Q678" i="1" s="1"/>
  <c r="AF678" i="1"/>
  <c r="CT678" i="1" s="1"/>
  <c r="AG678" i="1"/>
  <c r="CU678" i="1" s="1"/>
  <c r="AH678" i="1"/>
  <c r="CV678" i="1" s="1"/>
  <c r="AI678" i="1"/>
  <c r="CW678" i="1" s="1"/>
  <c r="AJ678" i="1"/>
  <c r="CX678" i="1"/>
  <c r="FR678" i="1"/>
  <c r="GL678" i="1"/>
  <c r="GN678" i="1"/>
  <c r="GO678" i="1"/>
  <c r="GV678" i="1"/>
  <c r="HC678" i="1"/>
  <c r="D679" i="1"/>
  <c r="I679" i="1"/>
  <c r="K679" i="1"/>
  <c r="S679" i="1"/>
  <c r="CY679" i="1" s="1"/>
  <c r="X679" i="1" s="1"/>
  <c r="AC679" i="1"/>
  <c r="AE679" i="1"/>
  <c r="AD679" i="1" s="1"/>
  <c r="AF679" i="1"/>
  <c r="CT679" i="1" s="1"/>
  <c r="AG679" i="1"/>
  <c r="CU679" i="1" s="1"/>
  <c r="T679" i="1" s="1"/>
  <c r="AH679" i="1"/>
  <c r="CV679" i="1" s="1"/>
  <c r="U679" i="1" s="1"/>
  <c r="AI679" i="1"/>
  <c r="CW679" i="1" s="1"/>
  <c r="V679" i="1" s="1"/>
  <c r="AJ679" i="1"/>
  <c r="CX679" i="1" s="1"/>
  <c r="W679" i="1" s="1"/>
  <c r="CQ679" i="1"/>
  <c r="P679" i="1" s="1"/>
  <c r="FR679" i="1"/>
  <c r="GL679" i="1"/>
  <c r="GN679" i="1"/>
  <c r="GO679" i="1"/>
  <c r="GV679" i="1"/>
  <c r="HC679" i="1" s="1"/>
  <c r="GX679" i="1"/>
  <c r="D680" i="1"/>
  <c r="I680" i="1"/>
  <c r="W680" i="1" s="1"/>
  <c r="K680" i="1"/>
  <c r="AC680" i="1"/>
  <c r="AE680" i="1"/>
  <c r="CR680" i="1" s="1"/>
  <c r="AF680" i="1"/>
  <c r="AG680" i="1"/>
  <c r="CU680" i="1" s="1"/>
  <c r="T680" i="1" s="1"/>
  <c r="AH680" i="1"/>
  <c r="CV680" i="1" s="1"/>
  <c r="U680" i="1" s="1"/>
  <c r="AI680" i="1"/>
  <c r="CW680" i="1" s="1"/>
  <c r="V680" i="1" s="1"/>
  <c r="AJ680" i="1"/>
  <c r="CX680" i="1" s="1"/>
  <c r="CQ680" i="1"/>
  <c r="CS680" i="1"/>
  <c r="R680" i="1" s="1"/>
  <c r="GK680" i="1" s="1"/>
  <c r="CT680" i="1"/>
  <c r="S680" i="1" s="1"/>
  <c r="CY680" i="1" s="1"/>
  <c r="X680" i="1" s="1"/>
  <c r="FR680" i="1"/>
  <c r="GL680" i="1"/>
  <c r="GN680" i="1"/>
  <c r="GO680" i="1"/>
  <c r="GV680" i="1"/>
  <c r="HC680" i="1"/>
  <c r="D682" i="1"/>
  <c r="I682" i="1"/>
  <c r="K682" i="1"/>
  <c r="AC682" i="1"/>
  <c r="CQ682" i="1" s="1"/>
  <c r="AE682" i="1"/>
  <c r="AF682" i="1"/>
  <c r="AG682" i="1"/>
  <c r="AH682" i="1"/>
  <c r="CV682" i="1" s="1"/>
  <c r="AI682" i="1"/>
  <c r="CW682" i="1" s="1"/>
  <c r="AJ682" i="1"/>
  <c r="CX682" i="1" s="1"/>
  <c r="CU682" i="1"/>
  <c r="FR682" i="1"/>
  <c r="GL682" i="1"/>
  <c r="GN682" i="1"/>
  <c r="GO682" i="1"/>
  <c r="GV682" i="1"/>
  <c r="HC682" i="1"/>
  <c r="D683" i="1"/>
  <c r="I683" i="1"/>
  <c r="K683" i="1"/>
  <c r="AC683" i="1"/>
  <c r="CQ683" i="1" s="1"/>
  <c r="P683" i="1" s="1"/>
  <c r="AE683" i="1"/>
  <c r="AD683" i="1" s="1"/>
  <c r="AF683" i="1"/>
  <c r="CT683" i="1" s="1"/>
  <c r="S683" i="1" s="1"/>
  <c r="CY683" i="1" s="1"/>
  <c r="X683" i="1" s="1"/>
  <c r="AG683" i="1"/>
  <c r="CU683" i="1" s="1"/>
  <c r="T683" i="1" s="1"/>
  <c r="AH683" i="1"/>
  <c r="AI683" i="1"/>
  <c r="AJ683" i="1"/>
  <c r="CX683" i="1" s="1"/>
  <c r="W683" i="1" s="1"/>
  <c r="CV683" i="1"/>
  <c r="U683" i="1" s="1"/>
  <c r="CW683" i="1"/>
  <c r="V683" i="1" s="1"/>
  <c r="FR683" i="1"/>
  <c r="GL683" i="1"/>
  <c r="GN683" i="1"/>
  <c r="GO683" i="1"/>
  <c r="GV683" i="1"/>
  <c r="HC683" i="1"/>
  <c r="GX683" i="1" s="1"/>
  <c r="B685" i="1"/>
  <c r="B648" i="1" s="1"/>
  <c r="C685" i="1"/>
  <c r="C648" i="1" s="1"/>
  <c r="D685" i="1"/>
  <c r="D648" i="1" s="1"/>
  <c r="F685" i="1"/>
  <c r="F648" i="1" s="1"/>
  <c r="G685" i="1"/>
  <c r="BX685" i="1"/>
  <c r="BZ685" i="1"/>
  <c r="CK685" i="1"/>
  <c r="CK648" i="1" s="1"/>
  <c r="CL685" i="1"/>
  <c r="BC685" i="1" s="1"/>
  <c r="CM685" i="1"/>
  <c r="CM648" i="1" s="1"/>
  <c r="B715" i="1"/>
  <c r="B505" i="1" s="1"/>
  <c r="C715" i="1"/>
  <c r="C505" i="1" s="1"/>
  <c r="D715" i="1"/>
  <c r="D505" i="1" s="1"/>
  <c r="F715" i="1"/>
  <c r="F505" i="1" s="1"/>
  <c r="G715" i="1"/>
  <c r="B745" i="1"/>
  <c r="B22" i="1" s="1"/>
  <c r="C745" i="1"/>
  <c r="C22" i="1" s="1"/>
  <c r="D745" i="1"/>
  <c r="D22" i="1" s="1"/>
  <c r="F745" i="1"/>
  <c r="F22" i="1" s="1"/>
  <c r="G745" i="1"/>
  <c r="B775" i="1"/>
  <c r="B18" i="1" s="1"/>
  <c r="C775" i="1"/>
  <c r="C18" i="1" s="1"/>
  <c r="D775" i="1"/>
  <c r="D18" i="1" s="1"/>
  <c r="F775" i="1"/>
  <c r="F18" i="1" s="1"/>
  <c r="G775" i="1"/>
  <c r="F12" i="6"/>
  <c r="G12" i="6"/>
  <c r="CY12" i="6"/>
  <c r="K887" i="7" l="1"/>
  <c r="L893" i="8"/>
  <c r="K842" i="7"/>
  <c r="L848" i="8"/>
  <c r="R668" i="1"/>
  <c r="GK668" i="1" s="1"/>
  <c r="V879" i="8"/>
  <c r="V873" i="7"/>
  <c r="J805" i="7"/>
  <c r="K811" i="8"/>
  <c r="K873" i="8"/>
  <c r="J867" i="7"/>
  <c r="K908" i="8"/>
  <c r="J902" i="7"/>
  <c r="CC604" i="1"/>
  <c r="AT616" i="1"/>
  <c r="K861" i="8"/>
  <c r="J855" i="7"/>
  <c r="K905" i="7"/>
  <c r="L911" i="8"/>
  <c r="R666" i="1"/>
  <c r="V862" i="7"/>
  <c r="J870" i="7" s="1"/>
  <c r="V868" i="8"/>
  <c r="K876" i="8" s="1"/>
  <c r="S692" i="8"/>
  <c r="Q686" i="7"/>
  <c r="Q692" i="8"/>
  <c r="S686" i="7"/>
  <c r="CT522" i="1"/>
  <c r="K206" i="7"/>
  <c r="L212" i="8"/>
  <c r="K135" i="7"/>
  <c r="L141" i="8"/>
  <c r="CY33" i="1"/>
  <c r="X33" i="1" s="1"/>
  <c r="CZ33" i="1"/>
  <c r="Y33" i="1" s="1"/>
  <c r="L783" i="8"/>
  <c r="K777" i="7"/>
  <c r="AD606" i="1"/>
  <c r="AB606" i="1" s="1"/>
  <c r="CR606" i="1"/>
  <c r="Q606" i="1" s="1"/>
  <c r="CT569" i="1"/>
  <c r="S569" i="1" s="1"/>
  <c r="S742" i="8"/>
  <c r="Q742" i="8"/>
  <c r="S736" i="7"/>
  <c r="Q736" i="7"/>
  <c r="C697" i="7"/>
  <c r="E696" i="7"/>
  <c r="D703" i="8"/>
  <c r="F702" i="8"/>
  <c r="K729" i="7"/>
  <c r="L735" i="8"/>
  <c r="AD430" i="1"/>
  <c r="AB430" i="1" s="1"/>
  <c r="CR430" i="1"/>
  <c r="Q430" i="1" s="1"/>
  <c r="E557" i="7"/>
  <c r="C558" i="7"/>
  <c r="F563" i="8"/>
  <c r="D564" i="8"/>
  <c r="V424" i="1"/>
  <c r="CT422" i="1"/>
  <c r="S422" i="1" s="1"/>
  <c r="Q547" i="7"/>
  <c r="S547" i="7"/>
  <c r="S553" i="8"/>
  <c r="Q553" i="8"/>
  <c r="K511" i="7"/>
  <c r="L517" i="8"/>
  <c r="AH330" i="1"/>
  <c r="AH324" i="1" s="1"/>
  <c r="K439" i="7"/>
  <c r="L445" i="8"/>
  <c r="C347" i="7"/>
  <c r="E346" i="7"/>
  <c r="D353" i="8"/>
  <c r="F352" i="8"/>
  <c r="K42" i="7"/>
  <c r="L48" i="8"/>
  <c r="AO685" i="1"/>
  <c r="BX648" i="1"/>
  <c r="P680" i="1"/>
  <c r="S677" i="1"/>
  <c r="CS675" i="1"/>
  <c r="U891" i="7"/>
  <c r="U897" i="8"/>
  <c r="U672" i="1"/>
  <c r="AD668" i="1"/>
  <c r="K824" i="7"/>
  <c r="L830" i="8"/>
  <c r="U656" i="1"/>
  <c r="K803" i="8"/>
  <c r="J797" i="7"/>
  <c r="CJ616" i="1"/>
  <c r="CJ604" i="1" s="1"/>
  <c r="BX604" i="1"/>
  <c r="Q660" i="7"/>
  <c r="S660" i="7"/>
  <c r="S666" i="8"/>
  <c r="Q666" i="8"/>
  <c r="CT518" i="1"/>
  <c r="S518" i="1" s="1"/>
  <c r="P438" i="1"/>
  <c r="CQ430" i="1"/>
  <c r="P430" i="1" s="1"/>
  <c r="AD427" i="1"/>
  <c r="AB427" i="1" s="1"/>
  <c r="CR427" i="1"/>
  <c r="Q427" i="1" s="1"/>
  <c r="CR425" i="1"/>
  <c r="Q425" i="1" s="1"/>
  <c r="CP425" i="1" s="1"/>
  <c r="O425" i="1" s="1"/>
  <c r="CS425" i="1"/>
  <c r="R425" i="1" s="1"/>
  <c r="GK425" i="1" s="1"/>
  <c r="AD425" i="1"/>
  <c r="R421" i="1"/>
  <c r="GK421" i="1" s="1"/>
  <c r="V539" i="7"/>
  <c r="V545" i="8"/>
  <c r="G362" i="1"/>
  <c r="A476" i="7"/>
  <c r="A482" i="8"/>
  <c r="R286" i="1"/>
  <c r="V399" i="7"/>
  <c r="J406" i="7" s="1"/>
  <c r="V405" i="8"/>
  <c r="K412" i="8" s="1"/>
  <c r="AD278" i="1"/>
  <c r="U374" i="7"/>
  <c r="U380" i="8"/>
  <c r="CS278" i="1"/>
  <c r="CR278" i="1"/>
  <c r="Q278" i="1" s="1"/>
  <c r="R275" i="1"/>
  <c r="V346" i="7"/>
  <c r="J353" i="7" s="1"/>
  <c r="V352" i="8"/>
  <c r="K359" i="8" s="1"/>
  <c r="J276" i="7"/>
  <c r="K282" i="8"/>
  <c r="Q44" i="7"/>
  <c r="S44" i="7"/>
  <c r="S50" i="8"/>
  <c r="Q50" i="8"/>
  <c r="CT35" i="1"/>
  <c r="S35" i="1" s="1"/>
  <c r="J39" i="7"/>
  <c r="K45" i="8"/>
  <c r="Q65" i="7"/>
  <c r="S65" i="7"/>
  <c r="S71" i="8"/>
  <c r="Q71" i="8"/>
  <c r="CT39" i="1"/>
  <c r="S39" i="1" s="1"/>
  <c r="F868" i="8"/>
  <c r="C863" i="7"/>
  <c r="E862" i="7"/>
  <c r="D869" i="8"/>
  <c r="D906" i="8"/>
  <c r="E899" i="7"/>
  <c r="F905" i="8"/>
  <c r="C900" i="7"/>
  <c r="J876" i="7"/>
  <c r="K882" i="8"/>
  <c r="CT528" i="1"/>
  <c r="S528" i="1" s="1"/>
  <c r="Q703" i="7"/>
  <c r="S703" i="7"/>
  <c r="S709" i="8"/>
  <c r="Q709" i="8"/>
  <c r="E603" i="7"/>
  <c r="C604" i="7"/>
  <c r="F609" i="8"/>
  <c r="D610" i="8"/>
  <c r="P440" i="1"/>
  <c r="Q424" i="1"/>
  <c r="Q497" i="7"/>
  <c r="S497" i="7"/>
  <c r="S503" i="8"/>
  <c r="Q503" i="8"/>
  <c r="CT413" i="1"/>
  <c r="S413" i="1" s="1"/>
  <c r="G505" i="1"/>
  <c r="A921" i="7"/>
  <c r="AF921" i="7"/>
  <c r="AF927" i="8"/>
  <c r="A927" i="8"/>
  <c r="V682" i="1"/>
  <c r="GX677" i="1"/>
  <c r="GX676" i="1"/>
  <c r="R676" i="1"/>
  <c r="GK676" i="1" s="1"/>
  <c r="CS673" i="1"/>
  <c r="R673" i="1" s="1"/>
  <c r="GK673" i="1" s="1"/>
  <c r="AD659" i="1"/>
  <c r="AB659" i="1" s="1"/>
  <c r="U824" i="8"/>
  <c r="U818" i="7"/>
  <c r="CS659" i="1"/>
  <c r="U651" i="1"/>
  <c r="BC616" i="1"/>
  <c r="CL604" i="1"/>
  <c r="CT611" i="1"/>
  <c r="S611" i="1" s="1"/>
  <c r="S774" i="8"/>
  <c r="Q774" i="8"/>
  <c r="Q768" i="7"/>
  <c r="S768" i="7"/>
  <c r="CS610" i="1"/>
  <c r="R610" i="1" s="1"/>
  <c r="GK610" i="1" s="1"/>
  <c r="CS606" i="1"/>
  <c r="R606" i="1" s="1"/>
  <c r="GK606" i="1" s="1"/>
  <c r="BY534" i="1"/>
  <c r="W440" i="1"/>
  <c r="GX438" i="1"/>
  <c r="Q435" i="1"/>
  <c r="CR431" i="1"/>
  <c r="CS431" i="1"/>
  <c r="K545" i="7"/>
  <c r="L551" i="8"/>
  <c r="U513" i="7"/>
  <c r="U519" i="8"/>
  <c r="E489" i="7"/>
  <c r="C490" i="7"/>
  <c r="D496" i="8"/>
  <c r="F495" i="8"/>
  <c r="Q328" i="1"/>
  <c r="J436" i="7"/>
  <c r="K442" i="8"/>
  <c r="AC330" i="1"/>
  <c r="CE330" i="1" s="1"/>
  <c r="C622" i="7"/>
  <c r="E621" i="7"/>
  <c r="D628" i="8"/>
  <c r="F627" i="8"/>
  <c r="P513" i="1"/>
  <c r="CP678" i="1"/>
  <c r="O678" i="1" s="1"/>
  <c r="V672" i="1"/>
  <c r="G648" i="1"/>
  <c r="A924" i="8"/>
  <c r="A918" i="7"/>
  <c r="GX680" i="1"/>
  <c r="E786" i="7"/>
  <c r="D793" i="8"/>
  <c r="F792" i="8"/>
  <c r="C787" i="7"/>
  <c r="AD524" i="1"/>
  <c r="CR524" i="1"/>
  <c r="Q524" i="1" s="1"/>
  <c r="CP524" i="1" s="1"/>
  <c r="O524" i="1" s="1"/>
  <c r="CS524" i="1"/>
  <c r="R524" i="1" s="1"/>
  <c r="GK524" i="1" s="1"/>
  <c r="AD516" i="1"/>
  <c r="CR516" i="1"/>
  <c r="Q516" i="1" s="1"/>
  <c r="CS516" i="1"/>
  <c r="R516" i="1" s="1"/>
  <c r="GK516" i="1" s="1"/>
  <c r="CZ441" i="1"/>
  <c r="Y441" i="1" s="1"/>
  <c r="CY441" i="1"/>
  <c r="X441" i="1" s="1"/>
  <c r="BY362" i="1"/>
  <c r="AP374" i="1"/>
  <c r="P670" i="1"/>
  <c r="D888" i="8"/>
  <c r="C882" i="7"/>
  <c r="E881" i="7"/>
  <c r="F887" i="8"/>
  <c r="Q818" i="7"/>
  <c r="S824" i="8"/>
  <c r="S818" i="7"/>
  <c r="Q824" i="8"/>
  <c r="AB520" i="1"/>
  <c r="CQ520" i="1"/>
  <c r="P520" i="1" s="1"/>
  <c r="AD514" i="1"/>
  <c r="U632" i="7"/>
  <c r="U638" i="8"/>
  <c r="CR514" i="1"/>
  <c r="Q514" i="1" s="1"/>
  <c r="CS514" i="1"/>
  <c r="W424" i="1"/>
  <c r="R416" i="1"/>
  <c r="GK416" i="1" s="1"/>
  <c r="U505" i="7"/>
  <c r="U511" i="8"/>
  <c r="AD415" i="1"/>
  <c r="R328" i="1"/>
  <c r="GK328" i="1" s="1"/>
  <c r="AD193" i="1"/>
  <c r="AB193" i="1" s="1"/>
  <c r="CS193" i="1"/>
  <c r="R193" i="1" s="1"/>
  <c r="GK193" i="1" s="1"/>
  <c r="CR193" i="1"/>
  <c r="Q193" i="1" s="1"/>
  <c r="G18" i="1"/>
  <c r="A933" i="8"/>
  <c r="A927" i="7"/>
  <c r="CS683" i="1"/>
  <c r="R683" i="1" s="1"/>
  <c r="GK683" i="1" s="1"/>
  <c r="U682" i="1"/>
  <c r="W678" i="1"/>
  <c r="CR673" i="1"/>
  <c r="Q673" i="1" s="1"/>
  <c r="GX672" i="1"/>
  <c r="E873" i="7"/>
  <c r="D880" i="8"/>
  <c r="C874" i="7"/>
  <c r="F879" i="8"/>
  <c r="T666" i="1"/>
  <c r="J839" i="7"/>
  <c r="K845" i="8"/>
  <c r="C837" i="7"/>
  <c r="D843" i="8"/>
  <c r="F842" i="8"/>
  <c r="E836" i="7"/>
  <c r="P659" i="1"/>
  <c r="CQ656" i="1"/>
  <c r="P656" i="1" s="1"/>
  <c r="W651" i="1"/>
  <c r="CR610" i="1"/>
  <c r="Q610" i="1" s="1"/>
  <c r="CY570" i="1"/>
  <c r="X570" i="1" s="1"/>
  <c r="CZ570" i="1"/>
  <c r="Y570" i="1" s="1"/>
  <c r="V531" i="1"/>
  <c r="P525" i="1"/>
  <c r="CP525" i="1" s="1"/>
  <c r="O525" i="1" s="1"/>
  <c r="GM525" i="1" s="1"/>
  <c r="GP525" i="1" s="1"/>
  <c r="K676" i="7"/>
  <c r="L682" i="8"/>
  <c r="E660" i="7"/>
  <c r="F666" i="8"/>
  <c r="C661" i="7"/>
  <c r="D667" i="8"/>
  <c r="CP517" i="1"/>
  <c r="O517" i="1" s="1"/>
  <c r="P435" i="1"/>
  <c r="U424" i="1"/>
  <c r="C532" i="7"/>
  <c r="E531" i="7"/>
  <c r="F537" i="8"/>
  <c r="D538" i="8"/>
  <c r="P412" i="1"/>
  <c r="V409" i="1"/>
  <c r="CM406" i="1"/>
  <c r="Q453" i="7"/>
  <c r="S453" i="7"/>
  <c r="S459" i="8"/>
  <c r="Q459" i="8"/>
  <c r="CT367" i="1"/>
  <c r="CR178" i="1"/>
  <c r="Q178" i="1" s="1"/>
  <c r="CP178" i="1" s="1"/>
  <c r="O178" i="1" s="1"/>
  <c r="U224" i="7"/>
  <c r="U230" i="8"/>
  <c r="CS178" i="1"/>
  <c r="R174" i="7"/>
  <c r="J180" i="7" s="1"/>
  <c r="R180" i="8"/>
  <c r="K186" i="8" s="1"/>
  <c r="CT41" i="1"/>
  <c r="S41" i="1" s="1"/>
  <c r="Q87" i="7"/>
  <c r="S87" i="7"/>
  <c r="S93" i="8"/>
  <c r="Q93" i="8"/>
  <c r="U887" i="8"/>
  <c r="U881" i="7"/>
  <c r="J605" i="7"/>
  <c r="K611" i="8"/>
  <c r="GX285" i="1"/>
  <c r="E392" i="7"/>
  <c r="C393" i="7"/>
  <c r="D399" i="8"/>
  <c r="F398" i="8"/>
  <c r="T682" i="1"/>
  <c r="GX678" i="1"/>
  <c r="T672" i="1"/>
  <c r="V603" i="7"/>
  <c r="V609" i="8"/>
  <c r="CP427" i="1"/>
  <c r="O427" i="1" s="1"/>
  <c r="W682" i="1"/>
  <c r="Q677" i="1"/>
  <c r="CP677" i="1" s="1"/>
  <c r="O677" i="1" s="1"/>
  <c r="S672" i="1"/>
  <c r="GX666" i="1"/>
  <c r="C737" i="7"/>
  <c r="F742" i="8"/>
  <c r="E736" i="7"/>
  <c r="D743" i="8"/>
  <c r="S525" i="1"/>
  <c r="C594" i="7"/>
  <c r="D600" i="8"/>
  <c r="E593" i="7"/>
  <c r="F599" i="8"/>
  <c r="K527" i="7"/>
  <c r="L533" i="8"/>
  <c r="CR683" i="1"/>
  <c r="Q683" i="1" s="1"/>
  <c r="K897" i="7"/>
  <c r="L903" i="8"/>
  <c r="E891" i="7"/>
  <c r="F897" i="8"/>
  <c r="C892" i="7"/>
  <c r="D898" i="8"/>
  <c r="W670" i="1"/>
  <c r="S862" i="7"/>
  <c r="S868" i="8"/>
  <c r="Q868" i="8"/>
  <c r="Q862" i="7"/>
  <c r="CT660" i="1"/>
  <c r="Q832" i="8"/>
  <c r="Q826" i="7"/>
  <c r="S832" i="8"/>
  <c r="S826" i="7"/>
  <c r="D817" i="8"/>
  <c r="C811" i="7"/>
  <c r="F816" i="8"/>
  <c r="E810" i="7"/>
  <c r="W656" i="1"/>
  <c r="U653" i="1"/>
  <c r="CP610" i="1"/>
  <c r="O610" i="1" s="1"/>
  <c r="F597" i="1"/>
  <c r="BD566" i="1"/>
  <c r="W525" i="1"/>
  <c r="K694" i="7"/>
  <c r="L700" i="8"/>
  <c r="CT515" i="1"/>
  <c r="Q643" i="7"/>
  <c r="S643" i="7"/>
  <c r="S649" i="8"/>
  <c r="Q649" i="8"/>
  <c r="E632" i="7"/>
  <c r="C633" i="7"/>
  <c r="F638" i="8"/>
  <c r="D639" i="8"/>
  <c r="CT513" i="1"/>
  <c r="S513" i="1" s="1"/>
  <c r="Q621" i="7"/>
  <c r="S621" i="7"/>
  <c r="S627" i="8"/>
  <c r="Q627" i="8"/>
  <c r="S438" i="1"/>
  <c r="W435" i="1"/>
  <c r="CS430" i="1"/>
  <c r="R430" i="1" s="1"/>
  <c r="GK430" i="1" s="1"/>
  <c r="T424" i="1"/>
  <c r="P420" i="1"/>
  <c r="W416" i="1"/>
  <c r="U409" i="1"/>
  <c r="P409" i="1"/>
  <c r="W328" i="1"/>
  <c r="E382" i="7"/>
  <c r="C383" i="7"/>
  <c r="D389" i="8"/>
  <c r="F388" i="8"/>
  <c r="J294" i="7"/>
  <c r="K300" i="8"/>
  <c r="J176" i="7"/>
  <c r="K182" i="8"/>
  <c r="CZ131" i="1"/>
  <c r="Y131" i="1" s="1"/>
  <c r="U873" i="7"/>
  <c r="U879" i="8"/>
  <c r="CR668" i="1"/>
  <c r="Q668" i="1" s="1"/>
  <c r="CP668" i="1" s="1"/>
  <c r="O668" i="1" s="1"/>
  <c r="R677" i="1"/>
  <c r="GK677" i="1" s="1"/>
  <c r="V905" i="8"/>
  <c r="V899" i="7"/>
  <c r="Q844" i="7"/>
  <c r="S844" i="7"/>
  <c r="S850" i="8"/>
  <c r="Q850" i="8"/>
  <c r="S416" i="1"/>
  <c r="AD366" i="1"/>
  <c r="AB366" i="1" s="1"/>
  <c r="CR366" i="1"/>
  <c r="Q366" i="1" s="1"/>
  <c r="V678" i="1"/>
  <c r="GX667" i="1"/>
  <c r="AD666" i="1"/>
  <c r="U868" i="8"/>
  <c r="U862" i="7"/>
  <c r="K850" i="7"/>
  <c r="L856" i="8"/>
  <c r="D851" i="8"/>
  <c r="C845" i="7"/>
  <c r="F850" i="8"/>
  <c r="E844" i="7"/>
  <c r="U826" i="7"/>
  <c r="U832" i="8"/>
  <c r="E818" i="7"/>
  <c r="F824" i="8"/>
  <c r="D825" i="8"/>
  <c r="C819" i="7"/>
  <c r="W569" i="1"/>
  <c r="AJ572" i="1" s="1"/>
  <c r="K718" i="7"/>
  <c r="L724" i="8"/>
  <c r="BZ534" i="1"/>
  <c r="V525" i="1"/>
  <c r="AD521" i="1"/>
  <c r="AB521" i="1" s="1"/>
  <c r="CS521" i="1"/>
  <c r="R521" i="1" s="1"/>
  <c r="GK521" i="1" s="1"/>
  <c r="T440" i="1"/>
  <c r="GX435" i="1"/>
  <c r="CS427" i="1"/>
  <c r="R427" i="1" s="1"/>
  <c r="GK427" i="1" s="1"/>
  <c r="GX424" i="1"/>
  <c r="AD421" i="1"/>
  <c r="U539" i="7"/>
  <c r="U545" i="8"/>
  <c r="CR421" i="1"/>
  <c r="Q421" i="1" s="1"/>
  <c r="V328" i="1"/>
  <c r="J302" i="7"/>
  <c r="K308" i="8"/>
  <c r="K297" i="7"/>
  <c r="L303" i="8"/>
  <c r="J245" i="7"/>
  <c r="K251" i="8"/>
  <c r="R49" i="1"/>
  <c r="GK49" i="1" s="1"/>
  <c r="V130" i="7"/>
  <c r="V136" i="8"/>
  <c r="Q122" i="7"/>
  <c r="S122" i="7"/>
  <c r="S128" i="8"/>
  <c r="Q128" i="8"/>
  <c r="CT46" i="1"/>
  <c r="S46" i="1" s="1"/>
  <c r="U702" i="8"/>
  <c r="U696" i="7"/>
  <c r="GX525" i="1"/>
  <c r="K666" i="7"/>
  <c r="L672" i="8"/>
  <c r="U435" i="1"/>
  <c r="CT433" i="1"/>
  <c r="Q585" i="7"/>
  <c r="S585" i="7"/>
  <c r="Q591" i="8"/>
  <c r="S591" i="8"/>
  <c r="J571" i="7"/>
  <c r="K577" i="8"/>
  <c r="Q521" i="7"/>
  <c r="S521" i="7"/>
  <c r="S527" i="8"/>
  <c r="Q527" i="8"/>
  <c r="CT418" i="1"/>
  <c r="S418" i="1" s="1"/>
  <c r="E482" i="7"/>
  <c r="F488" i="8"/>
  <c r="J467" i="7"/>
  <c r="K473" i="8"/>
  <c r="CS366" i="1"/>
  <c r="R366" i="1" s="1"/>
  <c r="GK366" i="1" s="1"/>
  <c r="U192" i="7"/>
  <c r="U198" i="8"/>
  <c r="CT675" i="1"/>
  <c r="S675" i="1" s="1"/>
  <c r="S897" i="8"/>
  <c r="Q891" i="7"/>
  <c r="Q897" i="8"/>
  <c r="S891" i="7"/>
  <c r="J865" i="7"/>
  <c r="K871" i="8"/>
  <c r="A746" i="7"/>
  <c r="A752" i="8"/>
  <c r="G566" i="1"/>
  <c r="R529" i="1"/>
  <c r="GK529" i="1" s="1"/>
  <c r="V719" i="8"/>
  <c r="V713" i="7"/>
  <c r="BX324" i="1"/>
  <c r="AO330" i="1"/>
  <c r="V666" i="1"/>
  <c r="U844" i="7"/>
  <c r="U850" i="8"/>
  <c r="CT682" i="1"/>
  <c r="S682" i="1" s="1"/>
  <c r="S909" i="7"/>
  <c r="S915" i="8"/>
  <c r="Q915" i="8"/>
  <c r="Q909" i="7"/>
  <c r="CR682" i="1"/>
  <c r="Q682" i="1" s="1"/>
  <c r="U909" i="7"/>
  <c r="U915" i="8"/>
  <c r="AD680" i="1"/>
  <c r="AB680" i="1" s="1"/>
  <c r="U678" i="1"/>
  <c r="S667" i="1"/>
  <c r="J829" i="7"/>
  <c r="K835" i="8"/>
  <c r="GX656" i="1"/>
  <c r="GX651" i="1"/>
  <c r="T651" i="1"/>
  <c r="C769" i="7"/>
  <c r="F774" i="8"/>
  <c r="E768" i="7"/>
  <c r="D775" i="8"/>
  <c r="AD682" i="1"/>
  <c r="CS679" i="1"/>
  <c r="R679" i="1" s="1"/>
  <c r="GK679" i="1" s="1"/>
  <c r="T678" i="1"/>
  <c r="Q899" i="7"/>
  <c r="S899" i="7"/>
  <c r="Q905" i="8"/>
  <c r="S905" i="8"/>
  <c r="CR676" i="1"/>
  <c r="Q676" i="1" s="1"/>
  <c r="GX675" i="1"/>
  <c r="Q672" i="1"/>
  <c r="CR671" i="1"/>
  <c r="Q671" i="1" s="1"/>
  <c r="CP671" i="1" s="1"/>
  <c r="O671" i="1" s="1"/>
  <c r="GM671" i="1" s="1"/>
  <c r="GP671" i="1" s="1"/>
  <c r="GX670" i="1"/>
  <c r="U668" i="1"/>
  <c r="U666" i="1"/>
  <c r="GX664" i="1"/>
  <c r="D859" i="8"/>
  <c r="E852" i="7"/>
  <c r="F858" i="8"/>
  <c r="C853" i="7"/>
  <c r="CT663" i="1"/>
  <c r="S663" i="1" s="1"/>
  <c r="GX662" i="1"/>
  <c r="CT659" i="1"/>
  <c r="S659" i="1" s="1"/>
  <c r="T656" i="1"/>
  <c r="BY685" i="1"/>
  <c r="Q786" i="7"/>
  <c r="S786" i="7"/>
  <c r="S792" i="8"/>
  <c r="Q792" i="8"/>
  <c r="CT651" i="1"/>
  <c r="S651" i="1" s="1"/>
  <c r="CY612" i="1"/>
  <c r="X612" i="1" s="1"/>
  <c r="W611" i="1"/>
  <c r="Q757" i="7"/>
  <c r="S763" i="8"/>
  <c r="S757" i="7"/>
  <c r="Q763" i="8"/>
  <c r="CT609" i="1"/>
  <c r="S609" i="1" s="1"/>
  <c r="U569" i="1"/>
  <c r="BB509" i="1"/>
  <c r="F547" i="1"/>
  <c r="Q713" i="7"/>
  <c r="S713" i="7"/>
  <c r="Q719" i="8"/>
  <c r="S719" i="8"/>
  <c r="CT529" i="1"/>
  <c r="S529" i="1" s="1"/>
  <c r="T525" i="1"/>
  <c r="W518" i="1"/>
  <c r="J634" i="7"/>
  <c r="K640" i="8"/>
  <c r="AD440" i="1"/>
  <c r="AB440" i="1" s="1"/>
  <c r="U603" i="7"/>
  <c r="U609" i="8"/>
  <c r="CR440" i="1"/>
  <c r="Q440" i="1" s="1"/>
  <c r="U438" i="1"/>
  <c r="U585" i="7"/>
  <c r="U591" i="8"/>
  <c r="AD433" i="1"/>
  <c r="P424" i="1"/>
  <c r="CR418" i="1"/>
  <c r="Q418" i="1" s="1"/>
  <c r="CP418" i="1" s="1"/>
  <c r="O418" i="1" s="1"/>
  <c r="U521" i="7"/>
  <c r="U527" i="8"/>
  <c r="CS418" i="1"/>
  <c r="GX416" i="1"/>
  <c r="T416" i="1"/>
  <c r="CP411" i="1"/>
  <c r="O411" i="1" s="1"/>
  <c r="R409" i="1"/>
  <c r="GK409" i="1" s="1"/>
  <c r="V482" i="7"/>
  <c r="V488" i="8"/>
  <c r="T328" i="1"/>
  <c r="J266" i="7"/>
  <c r="K272" i="8"/>
  <c r="Q252" i="7"/>
  <c r="S252" i="7"/>
  <c r="S258" i="8"/>
  <c r="Q258" i="8"/>
  <c r="CT183" i="1"/>
  <c r="S183" i="1" s="1"/>
  <c r="CT420" i="1"/>
  <c r="S420" i="1" s="1"/>
  <c r="Q531" i="7"/>
  <c r="S531" i="7"/>
  <c r="S537" i="8"/>
  <c r="Q537" i="8"/>
  <c r="GX682" i="1"/>
  <c r="C910" i="7"/>
  <c r="F915" i="8"/>
  <c r="E909" i="7"/>
  <c r="D916" i="8"/>
  <c r="J652" i="7"/>
  <c r="K658" i="8"/>
  <c r="BY443" i="1"/>
  <c r="J894" i="7"/>
  <c r="K900" i="8"/>
  <c r="AB668" i="1"/>
  <c r="CT655" i="1"/>
  <c r="S655" i="1" s="1"/>
  <c r="Q808" i="8"/>
  <c r="S802" i="7"/>
  <c r="S808" i="8"/>
  <c r="Q802" i="7"/>
  <c r="Q680" i="1"/>
  <c r="AB666" i="1"/>
  <c r="AO604" i="1"/>
  <c r="F620" i="1"/>
  <c r="G22" i="1"/>
  <c r="A930" i="8"/>
  <c r="A924" i="7"/>
  <c r="CC685" i="1"/>
  <c r="P682" i="1"/>
  <c r="CR679" i="1"/>
  <c r="Q679" i="1" s="1"/>
  <c r="S678" i="1"/>
  <c r="AD677" i="1"/>
  <c r="AB677" i="1" s="1"/>
  <c r="U905" i="8"/>
  <c r="U899" i="7"/>
  <c r="P672" i="1"/>
  <c r="S887" i="8"/>
  <c r="Q887" i="8"/>
  <c r="Q881" i="7"/>
  <c r="S881" i="7"/>
  <c r="CT670" i="1"/>
  <c r="CT666" i="1"/>
  <c r="S666" i="1" s="1"/>
  <c r="W664" i="1"/>
  <c r="W663" i="1"/>
  <c r="Q836" i="7"/>
  <c r="Q842" i="8"/>
  <c r="S842" i="8"/>
  <c r="S836" i="7"/>
  <c r="CT662" i="1"/>
  <c r="S662" i="1" s="1"/>
  <c r="CR659" i="1"/>
  <c r="Q659" i="1" s="1"/>
  <c r="W657" i="1"/>
  <c r="J796" i="7"/>
  <c r="K802" i="8"/>
  <c r="CR651" i="1"/>
  <c r="Q651" i="1" s="1"/>
  <c r="U786" i="7"/>
  <c r="U792" i="8"/>
  <c r="AD609" i="1"/>
  <c r="AB609" i="1" s="1"/>
  <c r="U763" i="8"/>
  <c r="U757" i="7"/>
  <c r="CR609" i="1"/>
  <c r="Q609" i="1" s="1"/>
  <c r="CS609" i="1"/>
  <c r="AS572" i="1"/>
  <c r="CB566" i="1"/>
  <c r="T569" i="1"/>
  <c r="AG572" i="1" s="1"/>
  <c r="GX531" i="1"/>
  <c r="K684" i="7"/>
  <c r="L690" i="8"/>
  <c r="V518" i="1"/>
  <c r="E643" i="7"/>
  <c r="C644" i="7"/>
  <c r="D650" i="8"/>
  <c r="F649" i="8"/>
  <c r="R424" i="1"/>
  <c r="BX362" i="1"/>
  <c r="CG374" i="1"/>
  <c r="S328" i="1"/>
  <c r="BY616" i="1"/>
  <c r="AP616" i="1" s="1"/>
  <c r="AP604" i="1" s="1"/>
  <c r="C751" i="7"/>
  <c r="E750" i="7"/>
  <c r="F756" i="8"/>
  <c r="D757" i="8"/>
  <c r="AD528" i="1"/>
  <c r="U709" i="8"/>
  <c r="U703" i="7"/>
  <c r="AB516" i="1"/>
  <c r="GX513" i="1"/>
  <c r="AD513" i="1"/>
  <c r="U621" i="7"/>
  <c r="U627" i="8"/>
  <c r="R438" i="1"/>
  <c r="GK438" i="1" s="1"/>
  <c r="Q557" i="7"/>
  <c r="S557" i="7"/>
  <c r="S563" i="8"/>
  <c r="Q563" i="8"/>
  <c r="K530" i="8"/>
  <c r="J524" i="7"/>
  <c r="Q416" i="1"/>
  <c r="CP416" i="1" s="1"/>
  <c r="O416" i="1" s="1"/>
  <c r="AD413" i="1"/>
  <c r="U503" i="8"/>
  <c r="U497" i="7"/>
  <c r="R412" i="1"/>
  <c r="GK412" i="1" s="1"/>
  <c r="V489" i="7"/>
  <c r="V495" i="8"/>
  <c r="T409" i="1"/>
  <c r="CL406" i="1"/>
  <c r="E464" i="7"/>
  <c r="C465" i="7"/>
  <c r="D471" i="8"/>
  <c r="F470" i="8"/>
  <c r="CR367" i="1"/>
  <c r="U453" i="7"/>
  <c r="U459" i="8"/>
  <c r="C447" i="7"/>
  <c r="E446" i="7"/>
  <c r="D453" i="8"/>
  <c r="F452" i="8"/>
  <c r="P328" i="1"/>
  <c r="CT327" i="1"/>
  <c r="S327" i="1" s="1"/>
  <c r="Q432" i="7"/>
  <c r="S432" i="7"/>
  <c r="S438" i="8"/>
  <c r="Q438" i="8"/>
  <c r="AD274" i="1"/>
  <c r="CR274" i="1"/>
  <c r="Q274" i="1" s="1"/>
  <c r="CP274" i="1" s="1"/>
  <c r="O274" i="1" s="1"/>
  <c r="CS274" i="1"/>
  <c r="R274" i="1" s="1"/>
  <c r="GK274" i="1" s="1"/>
  <c r="Q200" i="7"/>
  <c r="S200" i="7"/>
  <c r="S206" i="8"/>
  <c r="Q206" i="8"/>
  <c r="AH136" i="1"/>
  <c r="AH124" i="1" s="1"/>
  <c r="K161" i="7"/>
  <c r="L167" i="8"/>
  <c r="CR50" i="1"/>
  <c r="Q50" i="1" s="1"/>
  <c r="CS50" i="1"/>
  <c r="R50" i="1" s="1"/>
  <c r="GK50" i="1" s="1"/>
  <c r="AD50" i="1"/>
  <c r="K85" i="7"/>
  <c r="L91" i="8"/>
  <c r="U802" i="7"/>
  <c r="U808" i="8"/>
  <c r="K800" i="7"/>
  <c r="L806" i="8"/>
  <c r="E794" i="7"/>
  <c r="F800" i="8"/>
  <c r="D801" i="8"/>
  <c r="C795" i="7"/>
  <c r="P651" i="1"/>
  <c r="V611" i="1"/>
  <c r="W607" i="1"/>
  <c r="P606" i="1"/>
  <c r="AD568" i="1"/>
  <c r="S532" i="1"/>
  <c r="W531" i="1"/>
  <c r="R520" i="1"/>
  <c r="GK520" i="1" s="1"/>
  <c r="V678" i="7"/>
  <c r="V684" i="8"/>
  <c r="W515" i="1"/>
  <c r="AB513" i="1"/>
  <c r="Q438" i="1"/>
  <c r="J588" i="7"/>
  <c r="K594" i="8"/>
  <c r="W431" i="1"/>
  <c r="E576" i="7"/>
  <c r="F582" i="8"/>
  <c r="AD424" i="1"/>
  <c r="U557" i="7"/>
  <c r="U563" i="8"/>
  <c r="T422" i="1"/>
  <c r="S539" i="7"/>
  <c r="Q539" i="7"/>
  <c r="Q545" i="8"/>
  <c r="S545" i="8"/>
  <c r="E513" i="7"/>
  <c r="C514" i="7"/>
  <c r="D520" i="8"/>
  <c r="F519" i="8"/>
  <c r="P416" i="1"/>
  <c r="CT415" i="1"/>
  <c r="S415" i="1" s="1"/>
  <c r="S505" i="7"/>
  <c r="Q505" i="7"/>
  <c r="Q511" i="8"/>
  <c r="S511" i="8"/>
  <c r="K503" i="7"/>
  <c r="L509" i="8"/>
  <c r="AB413" i="1"/>
  <c r="Q412" i="1"/>
  <c r="CP412" i="1" s="1"/>
  <c r="O412" i="1" s="1"/>
  <c r="CP410" i="1"/>
  <c r="O410" i="1" s="1"/>
  <c r="S409" i="1"/>
  <c r="CK406" i="1"/>
  <c r="AB370" i="1"/>
  <c r="P369" i="1"/>
  <c r="J458" i="7"/>
  <c r="K464" i="8"/>
  <c r="W365" i="1"/>
  <c r="AJ374" i="1" s="1"/>
  <c r="S364" i="1"/>
  <c r="CY364" i="1" s="1"/>
  <c r="X364" i="1" s="1"/>
  <c r="GX328" i="1"/>
  <c r="AD327" i="1"/>
  <c r="AB327" i="1" s="1"/>
  <c r="U432" i="7"/>
  <c r="U438" i="8"/>
  <c r="CS327" i="1"/>
  <c r="CL267" i="1"/>
  <c r="BC292" i="1"/>
  <c r="Q328" i="7"/>
  <c r="S328" i="7"/>
  <c r="Q334" i="8"/>
  <c r="S334" i="8"/>
  <c r="R271" i="1"/>
  <c r="V317" i="7"/>
  <c r="J325" i="7" s="1"/>
  <c r="V323" i="8"/>
  <c r="K331" i="8" s="1"/>
  <c r="C264" i="7"/>
  <c r="E263" i="7"/>
  <c r="F269" i="8"/>
  <c r="D270" i="8"/>
  <c r="E242" i="7"/>
  <c r="C243" i="7"/>
  <c r="F248" i="8"/>
  <c r="D249" i="8"/>
  <c r="U234" i="7"/>
  <c r="U240" i="8"/>
  <c r="AD180" i="1"/>
  <c r="AB176" i="1"/>
  <c r="U172" i="1"/>
  <c r="K172" i="7"/>
  <c r="L178" i="8"/>
  <c r="CR89" i="1"/>
  <c r="U142" i="7"/>
  <c r="U148" i="8"/>
  <c r="CS89" i="1"/>
  <c r="CQ50" i="1"/>
  <c r="P50" i="1" s="1"/>
  <c r="AB50" i="1"/>
  <c r="AB46" i="1"/>
  <c r="R287" i="1"/>
  <c r="GK287" i="1" s="1"/>
  <c r="V409" i="7"/>
  <c r="V415" i="8"/>
  <c r="U364" i="7"/>
  <c r="U370" i="8"/>
  <c r="V275" i="1"/>
  <c r="T185" i="1"/>
  <c r="J237" i="7"/>
  <c r="K243" i="8"/>
  <c r="C225" i="7"/>
  <c r="E224" i="7"/>
  <c r="D231" i="8"/>
  <c r="F230" i="8"/>
  <c r="CP174" i="1"/>
  <c r="O174" i="1" s="1"/>
  <c r="J203" i="7"/>
  <c r="K209" i="8"/>
  <c r="GX172" i="1"/>
  <c r="K183" i="7"/>
  <c r="L189" i="8"/>
  <c r="Q156" i="7"/>
  <c r="S156" i="7"/>
  <c r="S162" i="8"/>
  <c r="Q162" i="8"/>
  <c r="CT127" i="1"/>
  <c r="S127" i="1" s="1"/>
  <c r="AT92" i="1"/>
  <c r="CC86" i="1"/>
  <c r="S88" i="1"/>
  <c r="GX41" i="1"/>
  <c r="E87" i="7"/>
  <c r="C88" i="7"/>
  <c r="D94" i="8"/>
  <c r="F93" i="8"/>
  <c r="CT40" i="1"/>
  <c r="S40" i="1" s="1"/>
  <c r="Q76" i="7"/>
  <c r="S76" i="7"/>
  <c r="Q82" i="8"/>
  <c r="S82" i="8"/>
  <c r="CT36" i="1"/>
  <c r="S55" i="7"/>
  <c r="Q55" i="7"/>
  <c r="S61" i="8"/>
  <c r="Q61" i="8"/>
  <c r="V667" i="1"/>
  <c r="CT664" i="1"/>
  <c r="S664" i="1" s="1"/>
  <c r="Q852" i="7"/>
  <c r="S852" i="7"/>
  <c r="S858" i="8"/>
  <c r="Q858" i="8"/>
  <c r="AD662" i="1"/>
  <c r="AB662" i="1" s="1"/>
  <c r="U836" i="7"/>
  <c r="U842" i="8"/>
  <c r="CB685" i="1"/>
  <c r="C827" i="7"/>
  <c r="F832" i="8"/>
  <c r="E826" i="7"/>
  <c r="D833" i="8"/>
  <c r="CT657" i="1"/>
  <c r="S810" i="7"/>
  <c r="S816" i="8"/>
  <c r="Q816" i="8"/>
  <c r="Q810" i="7"/>
  <c r="GX653" i="1"/>
  <c r="W653" i="1"/>
  <c r="GX612" i="1"/>
  <c r="Q607" i="1"/>
  <c r="V606" i="1"/>
  <c r="U736" i="7"/>
  <c r="U742" i="8"/>
  <c r="U531" i="1"/>
  <c r="CT530" i="1"/>
  <c r="S530" i="1" s="1"/>
  <c r="S720" i="7"/>
  <c r="Q720" i="7"/>
  <c r="S726" i="8"/>
  <c r="Q726" i="8"/>
  <c r="AD529" i="1"/>
  <c r="AB529" i="1" s="1"/>
  <c r="U713" i="7"/>
  <c r="U719" i="8"/>
  <c r="U686" i="7"/>
  <c r="U692" i="8"/>
  <c r="E678" i="7"/>
  <c r="C679" i="7"/>
  <c r="D685" i="8"/>
  <c r="F684" i="8"/>
  <c r="T519" i="1"/>
  <c r="U660" i="7"/>
  <c r="U666" i="8"/>
  <c r="Q650" i="7"/>
  <c r="S650" i="7"/>
  <c r="S656" i="8"/>
  <c r="Q656" i="8"/>
  <c r="G406" i="1"/>
  <c r="A612" i="7"/>
  <c r="A618" i="8"/>
  <c r="V440" i="1"/>
  <c r="W438" i="1"/>
  <c r="GX433" i="1"/>
  <c r="E585" i="7"/>
  <c r="C586" i="7"/>
  <c r="D592" i="8"/>
  <c r="F591" i="8"/>
  <c r="U547" i="7"/>
  <c r="U553" i="8"/>
  <c r="P421" i="1"/>
  <c r="V416" i="1"/>
  <c r="C498" i="7"/>
  <c r="E497" i="7"/>
  <c r="F503" i="8"/>
  <c r="D504" i="8"/>
  <c r="Q409" i="1"/>
  <c r="F390" i="1"/>
  <c r="V369" i="1"/>
  <c r="AI374" i="1" s="1"/>
  <c r="P368" i="1"/>
  <c r="C454" i="7"/>
  <c r="E453" i="7"/>
  <c r="D460" i="8"/>
  <c r="F459" i="8"/>
  <c r="U365" i="1"/>
  <c r="P364" i="1"/>
  <c r="J401" i="7"/>
  <c r="K407" i="8"/>
  <c r="U275" i="1"/>
  <c r="K344" i="7"/>
  <c r="L350" i="8"/>
  <c r="CT198" i="1"/>
  <c r="S198" i="1" s="1"/>
  <c r="Q299" i="7"/>
  <c r="S299" i="7"/>
  <c r="S305" i="8"/>
  <c r="Q305" i="8"/>
  <c r="V291" i="7"/>
  <c r="V297" i="8"/>
  <c r="R197" i="1"/>
  <c r="GK197" i="1" s="1"/>
  <c r="U281" i="7"/>
  <c r="U287" i="8"/>
  <c r="Q273" i="7"/>
  <c r="S273" i="7"/>
  <c r="Q279" i="8"/>
  <c r="S279" i="8"/>
  <c r="CT190" i="1"/>
  <c r="S190" i="1" s="1"/>
  <c r="R181" i="1"/>
  <c r="GK181" i="1" s="1"/>
  <c r="V242" i="7"/>
  <c r="V248" i="8"/>
  <c r="U216" i="7"/>
  <c r="U222" i="8"/>
  <c r="AD177" i="1"/>
  <c r="W176" i="1"/>
  <c r="CB124" i="1"/>
  <c r="AS136" i="1"/>
  <c r="R127" i="1"/>
  <c r="GK127" i="1" s="1"/>
  <c r="V156" i="7"/>
  <c r="V162" i="8"/>
  <c r="J146" i="7"/>
  <c r="K152" i="8"/>
  <c r="R88" i="1"/>
  <c r="GK88" i="1" s="1"/>
  <c r="U46" i="1"/>
  <c r="U858" i="8"/>
  <c r="U852" i="7"/>
  <c r="U810" i="7"/>
  <c r="U816" i="8"/>
  <c r="GX655" i="1"/>
  <c r="F808" i="8"/>
  <c r="C803" i="7"/>
  <c r="D809" i="8"/>
  <c r="E802" i="7"/>
  <c r="V653" i="1"/>
  <c r="V651" i="1"/>
  <c r="AS616" i="1"/>
  <c r="T531" i="1"/>
  <c r="CR530" i="1"/>
  <c r="Q530" i="1" s="1"/>
  <c r="U720" i="7"/>
  <c r="U726" i="8"/>
  <c r="CS528" i="1"/>
  <c r="AB525" i="1"/>
  <c r="CT519" i="1"/>
  <c r="S519" i="1" s="1"/>
  <c r="Q668" i="7"/>
  <c r="S674" i="8"/>
  <c r="Q674" i="8"/>
  <c r="S668" i="7"/>
  <c r="P518" i="1"/>
  <c r="AD517" i="1"/>
  <c r="AB517" i="1" s="1"/>
  <c r="U650" i="7"/>
  <c r="U656" i="8"/>
  <c r="GX440" i="1"/>
  <c r="U440" i="1"/>
  <c r="V438" i="1"/>
  <c r="Q593" i="7"/>
  <c r="S593" i="7"/>
  <c r="Q599" i="8"/>
  <c r="S599" i="8"/>
  <c r="GX429" i="1"/>
  <c r="P422" i="1"/>
  <c r="U416" i="1"/>
  <c r="J508" i="7"/>
  <c r="K514" i="8"/>
  <c r="CS413" i="1"/>
  <c r="V412" i="1"/>
  <c r="GX411" i="1"/>
  <c r="U369" i="1"/>
  <c r="T365" i="1"/>
  <c r="J402" i="7"/>
  <c r="K408" i="8"/>
  <c r="V280" i="1"/>
  <c r="G26" i="1"/>
  <c r="A311" i="7"/>
  <c r="AF311" i="7"/>
  <c r="A317" i="8"/>
  <c r="AF317" i="8"/>
  <c r="AD198" i="1"/>
  <c r="AB198" i="1" s="1"/>
  <c r="U299" i="7"/>
  <c r="U305" i="8"/>
  <c r="CS198" i="1"/>
  <c r="AB184" i="1"/>
  <c r="CQ184" i="1"/>
  <c r="P184" i="1" s="1"/>
  <c r="CP184" i="1" s="1"/>
  <c r="O184" i="1" s="1"/>
  <c r="W181" i="1"/>
  <c r="R176" i="1"/>
  <c r="GK176" i="1" s="1"/>
  <c r="AO136" i="1"/>
  <c r="BX124" i="1"/>
  <c r="Q174" i="7"/>
  <c r="S174" i="7"/>
  <c r="S180" i="8"/>
  <c r="Q180" i="8"/>
  <c r="E122" i="7"/>
  <c r="C123" i="7"/>
  <c r="F128" i="8"/>
  <c r="D129" i="8"/>
  <c r="GX44" i="1"/>
  <c r="E105" i="7"/>
  <c r="C106" i="7"/>
  <c r="F111" i="8"/>
  <c r="D112" i="8"/>
  <c r="BY54" i="1"/>
  <c r="A786" i="8"/>
  <c r="A780" i="7"/>
  <c r="GX611" i="1"/>
  <c r="K766" i="7"/>
  <c r="L772" i="8"/>
  <c r="AZ572" i="1"/>
  <c r="S531" i="1"/>
  <c r="CY531" i="1" s="1"/>
  <c r="X531" i="1" s="1"/>
  <c r="J725" i="7"/>
  <c r="K731" i="8"/>
  <c r="CR528" i="1"/>
  <c r="Q528" i="1" s="1"/>
  <c r="C704" i="7"/>
  <c r="E703" i="7"/>
  <c r="D710" i="8"/>
  <c r="F709" i="8"/>
  <c r="U525" i="1"/>
  <c r="CR519" i="1"/>
  <c r="Q519" i="1" s="1"/>
  <c r="U668" i="7"/>
  <c r="U674" i="8"/>
  <c r="K658" i="7"/>
  <c r="L664" i="8"/>
  <c r="CQ516" i="1"/>
  <c r="P516" i="1" s="1"/>
  <c r="U515" i="1"/>
  <c r="CR513" i="1"/>
  <c r="Q513" i="1" s="1"/>
  <c r="G263" i="1"/>
  <c r="A615" i="7"/>
  <c r="AF615" i="7"/>
  <c r="AF621" i="8"/>
  <c r="A621" i="8"/>
  <c r="T441" i="1"/>
  <c r="V435" i="1"/>
  <c r="AD435" i="1"/>
  <c r="AB435" i="1" s="1"/>
  <c r="U593" i="7"/>
  <c r="U599" i="8"/>
  <c r="CT426" i="1"/>
  <c r="S426" i="1" s="1"/>
  <c r="Q568" i="7"/>
  <c r="S568" i="7"/>
  <c r="S574" i="8"/>
  <c r="Q574" i="8"/>
  <c r="CT424" i="1"/>
  <c r="S424" i="1" s="1"/>
  <c r="C522" i="7"/>
  <c r="E521" i="7"/>
  <c r="F527" i="8"/>
  <c r="D528" i="8"/>
  <c r="CR413" i="1"/>
  <c r="Q413" i="1" s="1"/>
  <c r="GX412" i="1"/>
  <c r="U412" i="1"/>
  <c r="T369" i="1"/>
  <c r="CT365" i="1"/>
  <c r="S365" i="1" s="1"/>
  <c r="Q446" i="7"/>
  <c r="S446" i="7"/>
  <c r="S452" i="8"/>
  <c r="Q452" i="8"/>
  <c r="A428" i="7"/>
  <c r="A434" i="8"/>
  <c r="G267" i="1"/>
  <c r="U416" i="7"/>
  <c r="U422" i="8"/>
  <c r="CT285" i="1"/>
  <c r="S285" i="1" s="1"/>
  <c r="Q392" i="7"/>
  <c r="S392" i="7"/>
  <c r="S398" i="8"/>
  <c r="Q398" i="8"/>
  <c r="CZ284" i="1"/>
  <c r="Y284" i="1" s="1"/>
  <c r="Q346" i="7"/>
  <c r="S346" i="7"/>
  <c r="S352" i="8"/>
  <c r="Q352" i="8"/>
  <c r="CT275" i="1"/>
  <c r="S275" i="1" s="1"/>
  <c r="CT273" i="1"/>
  <c r="S339" i="7"/>
  <c r="Q339" i="7"/>
  <c r="S345" i="8"/>
  <c r="Q345" i="8"/>
  <c r="K326" i="7"/>
  <c r="L332" i="8"/>
  <c r="U208" i="7"/>
  <c r="U214" i="8"/>
  <c r="J168" i="7"/>
  <c r="K174" i="8"/>
  <c r="BY86" i="1"/>
  <c r="AP92" i="1"/>
  <c r="F101" i="1" s="1"/>
  <c r="T50" i="1"/>
  <c r="J92" i="7"/>
  <c r="K98" i="8"/>
  <c r="CR655" i="1"/>
  <c r="Q655" i="1" s="1"/>
  <c r="GX654" i="1"/>
  <c r="T611" i="1"/>
  <c r="AG616" i="1" s="1"/>
  <c r="K768" i="8"/>
  <c r="J762" i="7"/>
  <c r="U607" i="1"/>
  <c r="P528" i="1"/>
  <c r="CT527" i="1"/>
  <c r="Q696" i="7"/>
  <c r="S696" i="7"/>
  <c r="S702" i="8"/>
  <c r="Q702" i="8"/>
  <c r="W524" i="1"/>
  <c r="C687" i="7"/>
  <c r="E686" i="7"/>
  <c r="D693" i="8"/>
  <c r="F692" i="8"/>
  <c r="Q632" i="7"/>
  <c r="S632" i="7"/>
  <c r="S638" i="8"/>
  <c r="Q638" i="8"/>
  <c r="Q603" i="7"/>
  <c r="S603" i="7"/>
  <c r="S609" i="8"/>
  <c r="Q609" i="8"/>
  <c r="U568" i="7"/>
  <c r="U574" i="8"/>
  <c r="V557" i="7"/>
  <c r="J565" i="7" s="1"/>
  <c r="V563" i="8"/>
  <c r="K571" i="8" s="1"/>
  <c r="GX422" i="1"/>
  <c r="C548" i="7"/>
  <c r="E547" i="7"/>
  <c r="D554" i="8"/>
  <c r="F553" i="8"/>
  <c r="J541" i="7"/>
  <c r="K547" i="8"/>
  <c r="C540" i="7"/>
  <c r="E539" i="7"/>
  <c r="F545" i="8"/>
  <c r="D546" i="8"/>
  <c r="CP413" i="1"/>
  <c r="O413" i="1" s="1"/>
  <c r="J500" i="7"/>
  <c r="K506" i="8"/>
  <c r="T412" i="1"/>
  <c r="AB411" i="1"/>
  <c r="Q370" i="1"/>
  <c r="CT369" i="1"/>
  <c r="S369" i="1" s="1"/>
  <c r="Q464" i="7"/>
  <c r="S464" i="7"/>
  <c r="S470" i="8"/>
  <c r="Q470" i="8"/>
  <c r="CS367" i="1"/>
  <c r="GX365" i="1"/>
  <c r="CJ374" i="1" s="1"/>
  <c r="CS365" i="1"/>
  <c r="U446" i="7"/>
  <c r="U452" i="8"/>
  <c r="AB328" i="1"/>
  <c r="E432" i="7"/>
  <c r="C433" i="7"/>
  <c r="D439" i="8"/>
  <c r="F438" i="8"/>
  <c r="U284" i="1"/>
  <c r="T280" i="1"/>
  <c r="U185" i="1"/>
  <c r="V252" i="7"/>
  <c r="J260" i="7" s="1"/>
  <c r="V258" i="8"/>
  <c r="K266" i="8" s="1"/>
  <c r="U181" i="1"/>
  <c r="P176" i="1"/>
  <c r="J211" i="7"/>
  <c r="K217" i="8"/>
  <c r="AB131" i="1"/>
  <c r="P46" i="1"/>
  <c r="V414" i="1"/>
  <c r="CT412" i="1"/>
  <c r="S412" i="1" s="1"/>
  <c r="Q489" i="7"/>
  <c r="S489" i="7"/>
  <c r="S495" i="8"/>
  <c r="Q495" i="8"/>
  <c r="GX369" i="1"/>
  <c r="CS369" i="1"/>
  <c r="U464" i="7"/>
  <c r="U470" i="8"/>
  <c r="W364" i="1"/>
  <c r="U328" i="1"/>
  <c r="CR327" i="1"/>
  <c r="Q327" i="1" s="1"/>
  <c r="BZ324" i="1"/>
  <c r="K417" i="8"/>
  <c r="J411" i="7"/>
  <c r="CT276" i="1"/>
  <c r="Q356" i="7"/>
  <c r="S356" i="7"/>
  <c r="Q362" i="8"/>
  <c r="S362" i="8"/>
  <c r="W270" i="1"/>
  <c r="GX185" i="1"/>
  <c r="GX181" i="1"/>
  <c r="CT174" i="1"/>
  <c r="S174" i="1" s="1"/>
  <c r="S172" i="1"/>
  <c r="CZ172" i="1" s="1"/>
  <c r="Y172" i="1" s="1"/>
  <c r="Q98" i="7"/>
  <c r="S98" i="7"/>
  <c r="S104" i="8"/>
  <c r="Q104" i="8"/>
  <c r="GX668" i="1"/>
  <c r="CT668" i="1"/>
  <c r="S668" i="1" s="1"/>
  <c r="Q873" i="7"/>
  <c r="S873" i="7"/>
  <c r="S879" i="8"/>
  <c r="Q879" i="8"/>
  <c r="P663" i="1"/>
  <c r="AB658" i="1"/>
  <c r="R656" i="1"/>
  <c r="GK656" i="1" s="1"/>
  <c r="S800" i="8"/>
  <c r="Q800" i="8"/>
  <c r="Q794" i="7"/>
  <c r="S794" i="7"/>
  <c r="AB653" i="1"/>
  <c r="U768" i="7"/>
  <c r="U774" i="8"/>
  <c r="CT607" i="1"/>
  <c r="S607" i="1" s="1"/>
  <c r="S756" i="8"/>
  <c r="Q756" i="8"/>
  <c r="Q750" i="7"/>
  <c r="S750" i="7"/>
  <c r="U606" i="1"/>
  <c r="E720" i="7"/>
  <c r="D727" i="8"/>
  <c r="C721" i="7"/>
  <c r="F726" i="8"/>
  <c r="E713" i="7"/>
  <c r="C714" i="7"/>
  <c r="D720" i="8"/>
  <c r="F719" i="8"/>
  <c r="CS525" i="1"/>
  <c r="R525" i="1" s="1"/>
  <c r="GK525" i="1" s="1"/>
  <c r="P521" i="1"/>
  <c r="CT520" i="1"/>
  <c r="S520" i="1" s="1"/>
  <c r="Q678" i="7"/>
  <c r="S678" i="7"/>
  <c r="Q684" i="8"/>
  <c r="S684" i="8"/>
  <c r="R517" i="1"/>
  <c r="V656" i="8"/>
  <c r="K663" i="8" s="1"/>
  <c r="V650" i="7"/>
  <c r="J657" i="7" s="1"/>
  <c r="E650" i="7"/>
  <c r="C651" i="7"/>
  <c r="F656" i="8"/>
  <c r="D657" i="8"/>
  <c r="U643" i="7"/>
  <c r="U649" i="8"/>
  <c r="V514" i="1"/>
  <c r="GX441" i="1"/>
  <c r="AB438" i="1"/>
  <c r="S435" i="1"/>
  <c r="CT428" i="1"/>
  <c r="Q576" i="7"/>
  <c r="S576" i="7"/>
  <c r="S582" i="8"/>
  <c r="Q582" i="8"/>
  <c r="GX420" i="1"/>
  <c r="CS420" i="1"/>
  <c r="U531" i="7"/>
  <c r="U537" i="8"/>
  <c r="C506" i="7"/>
  <c r="E505" i="7"/>
  <c r="F511" i="8"/>
  <c r="D512" i="8"/>
  <c r="AD412" i="1"/>
  <c r="AB412" i="1" s="1"/>
  <c r="U489" i="7"/>
  <c r="U495" i="8"/>
  <c r="CZ410" i="1"/>
  <c r="Y410" i="1" s="1"/>
  <c r="Q482" i="7"/>
  <c r="S482" i="7"/>
  <c r="Q488" i="8"/>
  <c r="S488" i="8"/>
  <c r="AD372" i="1"/>
  <c r="AD369" i="1"/>
  <c r="A442" i="7"/>
  <c r="A448" i="8"/>
  <c r="G324" i="1"/>
  <c r="W327" i="1"/>
  <c r="AJ330" i="1" s="1"/>
  <c r="C417" i="7"/>
  <c r="E416" i="7"/>
  <c r="F422" i="8"/>
  <c r="D423" i="8"/>
  <c r="K407" i="7"/>
  <c r="L413" i="8"/>
  <c r="W284" i="1"/>
  <c r="CZ281" i="1"/>
  <c r="Y281" i="1" s="1"/>
  <c r="GX280" i="1"/>
  <c r="W275" i="1"/>
  <c r="CT272" i="1"/>
  <c r="K279" i="7"/>
  <c r="L285" i="8"/>
  <c r="T178" i="1"/>
  <c r="V176" i="1"/>
  <c r="E163" i="7"/>
  <c r="C164" i="7"/>
  <c r="F169" i="8"/>
  <c r="D170" i="8"/>
  <c r="K74" i="7"/>
  <c r="L80" i="8"/>
  <c r="K53" i="7"/>
  <c r="L59" i="8"/>
  <c r="Q656" i="1"/>
  <c r="U800" i="8"/>
  <c r="U794" i="7"/>
  <c r="AB610" i="1"/>
  <c r="D764" i="8"/>
  <c r="E757" i="7"/>
  <c r="C758" i="7"/>
  <c r="F763" i="8"/>
  <c r="CS607" i="1"/>
  <c r="U756" i="8"/>
  <c r="U750" i="7"/>
  <c r="G509" i="1"/>
  <c r="A732" i="7"/>
  <c r="A738" i="8"/>
  <c r="W532" i="1"/>
  <c r="U528" i="1"/>
  <c r="Q525" i="1"/>
  <c r="T524" i="1"/>
  <c r="W521" i="1"/>
  <c r="U678" i="7"/>
  <c r="U684" i="8"/>
  <c r="C669" i="7"/>
  <c r="E668" i="7"/>
  <c r="D675" i="8"/>
  <c r="F674" i="8"/>
  <c r="J653" i="7"/>
  <c r="K659" i="8"/>
  <c r="U514" i="1"/>
  <c r="GX437" i="1"/>
  <c r="CS435" i="1"/>
  <c r="U576" i="7"/>
  <c r="U582" i="8"/>
  <c r="C569" i="7"/>
  <c r="E568" i="7"/>
  <c r="D575" i="8"/>
  <c r="F574" i="8"/>
  <c r="T425" i="1"/>
  <c r="CC443" i="1"/>
  <c r="CT417" i="1"/>
  <c r="Q513" i="7"/>
  <c r="S513" i="7"/>
  <c r="S519" i="8"/>
  <c r="Q519" i="8"/>
  <c r="U482" i="7"/>
  <c r="U488" i="8"/>
  <c r="V370" i="1"/>
  <c r="V284" i="1"/>
  <c r="P280" i="1"/>
  <c r="S374" i="7"/>
  <c r="Q374" i="7"/>
  <c r="S380" i="8"/>
  <c r="Q380" i="8"/>
  <c r="CT278" i="1"/>
  <c r="S278" i="1" s="1"/>
  <c r="T275" i="1"/>
  <c r="C340" i="7"/>
  <c r="E339" i="7"/>
  <c r="D346" i="8"/>
  <c r="F345" i="8"/>
  <c r="J322" i="7"/>
  <c r="K328" i="8"/>
  <c r="U270" i="1"/>
  <c r="CR198" i="1"/>
  <c r="Q198" i="1" s="1"/>
  <c r="R190" i="1"/>
  <c r="GK190" i="1" s="1"/>
  <c r="V273" i="7"/>
  <c r="V279" i="8"/>
  <c r="AD185" i="1"/>
  <c r="AB185" i="1" s="1"/>
  <c r="U263" i="7"/>
  <c r="U269" i="8"/>
  <c r="CR185" i="1"/>
  <c r="Q185" i="1" s="1"/>
  <c r="CP185" i="1" s="1"/>
  <c r="O185" i="1" s="1"/>
  <c r="CS185" i="1"/>
  <c r="K261" i="7"/>
  <c r="L267" i="8"/>
  <c r="Q181" i="1"/>
  <c r="CP181" i="1" s="1"/>
  <c r="O181" i="1" s="1"/>
  <c r="GM181" i="1" s="1"/>
  <c r="GP181" i="1" s="1"/>
  <c r="S178" i="1"/>
  <c r="U176" i="1"/>
  <c r="Q172" i="1"/>
  <c r="BD54" i="1"/>
  <c r="V44" i="1"/>
  <c r="GX184" i="1"/>
  <c r="AB183" i="1"/>
  <c r="AD181" i="1"/>
  <c r="AB181" i="1" s="1"/>
  <c r="E216" i="7"/>
  <c r="C217" i="7"/>
  <c r="D223" i="8"/>
  <c r="F222" i="8"/>
  <c r="V130" i="1"/>
  <c r="Q142" i="7"/>
  <c r="S142" i="7"/>
  <c r="S148" i="8"/>
  <c r="Q148" i="8"/>
  <c r="U115" i="7"/>
  <c r="U121" i="8"/>
  <c r="W44" i="1"/>
  <c r="GX37" i="1"/>
  <c r="C38" i="7"/>
  <c r="E37" i="7"/>
  <c r="F43" i="8"/>
  <c r="D44" i="8"/>
  <c r="T33" i="1"/>
  <c r="CR290" i="1"/>
  <c r="Q290" i="1" s="1"/>
  <c r="CP290" i="1" s="1"/>
  <c r="O290" i="1" s="1"/>
  <c r="GX289" i="1"/>
  <c r="CS283" i="1"/>
  <c r="R283" i="1" s="1"/>
  <c r="GK283" i="1" s="1"/>
  <c r="AB278" i="1"/>
  <c r="U356" i="7"/>
  <c r="U362" i="8"/>
  <c r="W273" i="1"/>
  <c r="AD190" i="1"/>
  <c r="AB190" i="1" s="1"/>
  <c r="U273" i="7"/>
  <c r="U279" i="8"/>
  <c r="AB188" i="1"/>
  <c r="S181" i="1"/>
  <c r="P178" i="1"/>
  <c r="Q176" i="1"/>
  <c r="CT175" i="1"/>
  <c r="S208" i="7"/>
  <c r="Q208" i="7"/>
  <c r="S214" i="8"/>
  <c r="Q214" i="8"/>
  <c r="R172" i="1"/>
  <c r="GK172" i="1" s="1"/>
  <c r="T130" i="1"/>
  <c r="BY136" i="1"/>
  <c r="CI136" i="1" s="1"/>
  <c r="E156" i="7"/>
  <c r="F162" i="8"/>
  <c r="C157" i="7"/>
  <c r="D163" i="8"/>
  <c r="A152" i="7"/>
  <c r="A158" i="8"/>
  <c r="AB88" i="1"/>
  <c r="U50" i="1"/>
  <c r="V46" i="1"/>
  <c r="U122" i="7"/>
  <c r="U128" i="8"/>
  <c r="U44" i="1"/>
  <c r="U98" i="7"/>
  <c r="U104" i="8"/>
  <c r="C410" i="7"/>
  <c r="E409" i="7"/>
  <c r="F415" i="8"/>
  <c r="D416" i="8"/>
  <c r="CP283" i="1"/>
  <c r="O283" i="1" s="1"/>
  <c r="U281" i="1"/>
  <c r="CT280" i="1"/>
  <c r="S280" i="1" s="1"/>
  <c r="Q382" i="7"/>
  <c r="S382" i="7"/>
  <c r="S388" i="8"/>
  <c r="Q388" i="8"/>
  <c r="W279" i="1"/>
  <c r="T277" i="1"/>
  <c r="J359" i="7"/>
  <c r="K365" i="8"/>
  <c r="AD275" i="1"/>
  <c r="AB275" i="1" s="1"/>
  <c r="U346" i="7"/>
  <c r="U352" i="8"/>
  <c r="Q317" i="7"/>
  <c r="S317" i="7"/>
  <c r="S323" i="8"/>
  <c r="Q323" i="8"/>
  <c r="P195" i="1"/>
  <c r="U188" i="1"/>
  <c r="C253" i="7"/>
  <c r="E252" i="7"/>
  <c r="D259" i="8"/>
  <c r="F258" i="8"/>
  <c r="CR174" i="1"/>
  <c r="Q174" i="1" s="1"/>
  <c r="U200" i="7"/>
  <c r="U206" i="8"/>
  <c r="S173" i="1"/>
  <c r="CZ173" i="1" s="1"/>
  <c r="Y173" i="1" s="1"/>
  <c r="P172" i="1"/>
  <c r="CP134" i="1"/>
  <c r="O134" i="1" s="1"/>
  <c r="S50" i="1"/>
  <c r="T46" i="1"/>
  <c r="R45" i="1"/>
  <c r="GK45" i="1" s="1"/>
  <c r="V115" i="7"/>
  <c r="V121" i="8"/>
  <c r="E115" i="7"/>
  <c r="C116" i="7"/>
  <c r="F121" i="8"/>
  <c r="D122" i="8"/>
  <c r="CT44" i="1"/>
  <c r="S44" i="1" s="1"/>
  <c r="Q105" i="7"/>
  <c r="S105" i="7"/>
  <c r="S111" i="8"/>
  <c r="Q111" i="8"/>
  <c r="W43" i="1"/>
  <c r="AJ54" i="1" s="1"/>
  <c r="P43" i="1"/>
  <c r="W41" i="1"/>
  <c r="U76" i="7"/>
  <c r="U82" i="8"/>
  <c r="U65" i="7"/>
  <c r="U71" i="8"/>
  <c r="T38" i="1"/>
  <c r="U55" i="7"/>
  <c r="U61" i="8"/>
  <c r="U44" i="7"/>
  <c r="U50" i="8"/>
  <c r="Q37" i="7"/>
  <c r="S37" i="7"/>
  <c r="S43" i="8"/>
  <c r="Q43" i="8"/>
  <c r="C400" i="7"/>
  <c r="E399" i="7"/>
  <c r="D406" i="8"/>
  <c r="F405" i="8"/>
  <c r="U382" i="7"/>
  <c r="U388" i="8"/>
  <c r="AB279" i="1"/>
  <c r="C375" i="7"/>
  <c r="E374" i="7"/>
  <c r="F380" i="8"/>
  <c r="D381" i="8"/>
  <c r="CT277" i="1"/>
  <c r="S277" i="1" s="1"/>
  <c r="S364" i="7"/>
  <c r="Q364" i="7"/>
  <c r="Q370" i="8"/>
  <c r="S370" i="8"/>
  <c r="AB276" i="1"/>
  <c r="AD271" i="1"/>
  <c r="AB271" i="1" s="1"/>
  <c r="U317" i="7"/>
  <c r="U323" i="8"/>
  <c r="G168" i="1"/>
  <c r="A308" i="7"/>
  <c r="A314" i="8"/>
  <c r="P199" i="1"/>
  <c r="P191" i="1"/>
  <c r="AB186" i="1"/>
  <c r="S263" i="7"/>
  <c r="Q263" i="7"/>
  <c r="S269" i="8"/>
  <c r="Q269" i="8"/>
  <c r="AD184" i="1"/>
  <c r="CT180" i="1"/>
  <c r="Q234" i="7"/>
  <c r="S234" i="7"/>
  <c r="S240" i="8"/>
  <c r="Q240" i="8"/>
  <c r="W172" i="1"/>
  <c r="K198" i="7"/>
  <c r="L204" i="8"/>
  <c r="BD124" i="1"/>
  <c r="E142" i="7"/>
  <c r="C143" i="7"/>
  <c r="F148" i="8"/>
  <c r="D149" i="8"/>
  <c r="Q88" i="1"/>
  <c r="U105" i="7"/>
  <c r="U111" i="8"/>
  <c r="J81" i="7"/>
  <c r="K87" i="8"/>
  <c r="AD39" i="1"/>
  <c r="V35" i="1"/>
  <c r="AD35" i="1"/>
  <c r="AD34" i="1"/>
  <c r="AB34" i="1" s="1"/>
  <c r="U37" i="7"/>
  <c r="U43" i="8"/>
  <c r="R46" i="1"/>
  <c r="GK46" i="1" s="1"/>
  <c r="V122" i="7"/>
  <c r="V128" i="8"/>
  <c r="CP45" i="1"/>
  <c r="O45" i="1" s="1"/>
  <c r="GM45" i="1" s="1"/>
  <c r="GP45" i="1" s="1"/>
  <c r="K103" i="7"/>
  <c r="L109" i="8"/>
  <c r="C99" i="7"/>
  <c r="E98" i="7"/>
  <c r="F104" i="8"/>
  <c r="D105" i="8"/>
  <c r="CP35" i="1"/>
  <c r="O35" i="1" s="1"/>
  <c r="J49" i="7"/>
  <c r="K55" i="8"/>
  <c r="S416" i="7"/>
  <c r="S422" i="8"/>
  <c r="Q422" i="8"/>
  <c r="Q416" i="7"/>
  <c r="U392" i="7"/>
  <c r="U398" i="8"/>
  <c r="CQ278" i="1"/>
  <c r="P278" i="1" s="1"/>
  <c r="P277" i="1"/>
  <c r="C357" i="7"/>
  <c r="E356" i="7"/>
  <c r="F362" i="8"/>
  <c r="D363" i="8"/>
  <c r="T273" i="1"/>
  <c r="U328" i="7"/>
  <c r="U334" i="8"/>
  <c r="CT271" i="1"/>
  <c r="S271" i="1" s="1"/>
  <c r="CP271" i="1" s="1"/>
  <c r="O271" i="1" s="1"/>
  <c r="V270" i="1"/>
  <c r="T199" i="1"/>
  <c r="E299" i="7"/>
  <c r="C300" i="7"/>
  <c r="F305" i="8"/>
  <c r="D306" i="8"/>
  <c r="E291" i="7"/>
  <c r="C292" i="7"/>
  <c r="F297" i="8"/>
  <c r="D298" i="8"/>
  <c r="CP193" i="1"/>
  <c r="O193" i="1" s="1"/>
  <c r="CT192" i="1"/>
  <c r="Q281" i="7"/>
  <c r="S281" i="7"/>
  <c r="Q287" i="8"/>
  <c r="S287" i="8"/>
  <c r="CR190" i="1"/>
  <c r="Q190" i="1" s="1"/>
  <c r="CP190" i="1" s="1"/>
  <c r="O190" i="1" s="1"/>
  <c r="GM190" i="1" s="1"/>
  <c r="GP190" i="1" s="1"/>
  <c r="E273" i="7"/>
  <c r="C274" i="7"/>
  <c r="F279" i="8"/>
  <c r="D280" i="8"/>
  <c r="CR188" i="1"/>
  <c r="Q188" i="1" s="1"/>
  <c r="V185" i="1"/>
  <c r="Q224" i="7"/>
  <c r="S224" i="7"/>
  <c r="S230" i="8"/>
  <c r="Q230" i="8"/>
  <c r="CT177" i="1"/>
  <c r="Q216" i="7"/>
  <c r="S216" i="7"/>
  <c r="Q222" i="8"/>
  <c r="S222" i="8"/>
  <c r="C209" i="7"/>
  <c r="E208" i="7"/>
  <c r="F214" i="8"/>
  <c r="D215" i="8"/>
  <c r="CT171" i="1"/>
  <c r="S171" i="1" s="1"/>
  <c r="Q192" i="7"/>
  <c r="S192" i="7"/>
  <c r="S198" i="8"/>
  <c r="Q198" i="8"/>
  <c r="U174" i="7"/>
  <c r="U180" i="8"/>
  <c r="U156" i="7"/>
  <c r="U162" i="8"/>
  <c r="CM124" i="1"/>
  <c r="GX88" i="1"/>
  <c r="W88" i="1"/>
  <c r="G86" i="1"/>
  <c r="E130" i="7"/>
  <c r="C131" i="7"/>
  <c r="F136" i="8"/>
  <c r="D137" i="8"/>
  <c r="CR46" i="1"/>
  <c r="Q46" i="1" s="1"/>
  <c r="CP46" i="1" s="1"/>
  <c r="O46" i="1" s="1"/>
  <c r="W45" i="1"/>
  <c r="T41" i="1"/>
  <c r="C77" i="7"/>
  <c r="E76" i="7"/>
  <c r="D83" i="8"/>
  <c r="F82" i="8"/>
  <c r="S37" i="1"/>
  <c r="GX36" i="1"/>
  <c r="C56" i="7"/>
  <c r="E55" i="7"/>
  <c r="D62" i="8"/>
  <c r="F61" i="8"/>
  <c r="AB35" i="1"/>
  <c r="T32" i="1"/>
  <c r="AB290" i="1"/>
  <c r="Q409" i="7"/>
  <c r="S409" i="7"/>
  <c r="Q415" i="8"/>
  <c r="S415" i="8"/>
  <c r="S399" i="7"/>
  <c r="Q399" i="7"/>
  <c r="S405" i="8"/>
  <c r="Q405" i="8"/>
  <c r="AB282" i="1"/>
  <c r="R279" i="1"/>
  <c r="GK279" i="1" s="1"/>
  <c r="C365" i="7"/>
  <c r="E364" i="7"/>
  <c r="D371" i="8"/>
  <c r="F370" i="8"/>
  <c r="GX275" i="1"/>
  <c r="Q275" i="1"/>
  <c r="U339" i="7"/>
  <c r="U345" i="8"/>
  <c r="J320" i="7"/>
  <c r="K326" i="8"/>
  <c r="E317" i="7"/>
  <c r="C318" i="7"/>
  <c r="F323" i="8"/>
  <c r="D324" i="8"/>
  <c r="T270" i="1"/>
  <c r="R199" i="1"/>
  <c r="GK199" i="1" s="1"/>
  <c r="S195" i="1"/>
  <c r="GX188" i="1"/>
  <c r="S185" i="1"/>
  <c r="CR183" i="1"/>
  <c r="U252" i="7"/>
  <c r="U258" i="8"/>
  <c r="V178" i="1"/>
  <c r="CS174" i="1"/>
  <c r="J195" i="7"/>
  <c r="K201" i="8"/>
  <c r="J179" i="7"/>
  <c r="K185" i="8"/>
  <c r="CS130" i="1"/>
  <c r="GX129" i="1"/>
  <c r="T129" i="1"/>
  <c r="AG136" i="1" s="1"/>
  <c r="P127" i="1"/>
  <c r="BC54" i="1"/>
  <c r="BC30" i="1" s="1"/>
  <c r="GX46" i="1"/>
  <c r="W46" i="1"/>
  <c r="U45" i="1"/>
  <c r="U87" i="7"/>
  <c r="U93" i="8"/>
  <c r="CS39" i="1"/>
  <c r="C66" i="7"/>
  <c r="E65" i="7"/>
  <c r="F71" i="8"/>
  <c r="D72" i="8"/>
  <c r="W38" i="1"/>
  <c r="CS35" i="1"/>
  <c r="CS34" i="1"/>
  <c r="W33" i="1"/>
  <c r="AD287" i="1"/>
  <c r="AB287" i="1" s="1"/>
  <c r="U409" i="7"/>
  <c r="U415" i="8"/>
  <c r="AD286" i="1"/>
  <c r="AB286" i="1" s="1"/>
  <c r="U399" i="7"/>
  <c r="U405" i="8"/>
  <c r="AB283" i="1"/>
  <c r="U280" i="1"/>
  <c r="GX279" i="1"/>
  <c r="Q279" i="1"/>
  <c r="K380" i="7"/>
  <c r="L386" i="8"/>
  <c r="P275" i="1"/>
  <c r="P273" i="1"/>
  <c r="C329" i="7"/>
  <c r="E328" i="7"/>
  <c r="F334" i="8"/>
  <c r="D335" i="8"/>
  <c r="S270" i="1"/>
  <c r="CY270" i="1" s="1"/>
  <c r="X270" i="1" s="1"/>
  <c r="GX199" i="1"/>
  <c r="Q199" i="1"/>
  <c r="U198" i="1"/>
  <c r="CT197" i="1"/>
  <c r="S197" i="1" s="1"/>
  <c r="Q291" i="7"/>
  <c r="S291" i="7"/>
  <c r="S297" i="8"/>
  <c r="Q297" i="8"/>
  <c r="Q242" i="7"/>
  <c r="S242" i="7"/>
  <c r="S248" i="8"/>
  <c r="Q248" i="8"/>
  <c r="GX180" i="1"/>
  <c r="C235" i="7"/>
  <c r="E234" i="7"/>
  <c r="F240" i="8"/>
  <c r="D241" i="8"/>
  <c r="U178" i="1"/>
  <c r="E200" i="7"/>
  <c r="C201" i="7"/>
  <c r="F206" i="8"/>
  <c r="D207" i="8"/>
  <c r="F149" i="1"/>
  <c r="CR130" i="1"/>
  <c r="CT129" i="1"/>
  <c r="S129" i="1" s="1"/>
  <c r="Q163" i="7"/>
  <c r="S163" i="7"/>
  <c r="S169" i="8"/>
  <c r="Q169" i="8"/>
  <c r="AB127" i="1"/>
  <c r="BB54" i="1"/>
  <c r="CT49" i="1"/>
  <c r="S49" i="1" s="1"/>
  <c r="Q130" i="7"/>
  <c r="S130" i="7"/>
  <c r="S136" i="8"/>
  <c r="Q136" i="8"/>
  <c r="J68" i="7"/>
  <c r="K74" i="8"/>
  <c r="V38" i="1"/>
  <c r="J47" i="7"/>
  <c r="K53" i="8"/>
  <c r="C45" i="7"/>
  <c r="E44" i="7"/>
  <c r="F50" i="8"/>
  <c r="D51" i="8"/>
  <c r="P32" i="1"/>
  <c r="T327" i="1"/>
  <c r="AG330" i="1" s="1"/>
  <c r="V288" i="1"/>
  <c r="K414" i="7"/>
  <c r="L420" i="8"/>
  <c r="BZ292" i="1"/>
  <c r="GX270" i="1"/>
  <c r="R270" i="1"/>
  <c r="GK270" i="1" s="1"/>
  <c r="AD197" i="1"/>
  <c r="U291" i="7"/>
  <c r="U297" i="8"/>
  <c r="GX192" i="1"/>
  <c r="C282" i="7"/>
  <c r="E281" i="7"/>
  <c r="D288" i="8"/>
  <c r="F287" i="8"/>
  <c r="J257" i="7"/>
  <c r="K263" i="8"/>
  <c r="U242" i="7"/>
  <c r="U248" i="8"/>
  <c r="T176" i="1"/>
  <c r="C193" i="7"/>
  <c r="E192" i="7"/>
  <c r="D199" i="8"/>
  <c r="F198" i="8"/>
  <c r="A186" i="7"/>
  <c r="A192" i="8"/>
  <c r="E174" i="7"/>
  <c r="C175" i="7"/>
  <c r="F180" i="8"/>
  <c r="D181" i="8"/>
  <c r="W130" i="1"/>
  <c r="U163" i="7"/>
  <c r="U169" i="8"/>
  <c r="G124" i="1"/>
  <c r="A138" i="7"/>
  <c r="A144" i="8"/>
  <c r="U130" i="7"/>
  <c r="U136" i="8"/>
  <c r="CT45" i="1"/>
  <c r="S45" i="1" s="1"/>
  <c r="Q115" i="7"/>
  <c r="S115" i="7"/>
  <c r="S121" i="8"/>
  <c r="Q121" i="8"/>
  <c r="GX38" i="1"/>
  <c r="U38" i="1"/>
  <c r="CZ676" i="1"/>
  <c r="Y676" i="1" s="1"/>
  <c r="CY676" i="1"/>
  <c r="X676" i="1" s="1"/>
  <c r="CP664" i="1"/>
  <c r="O664" i="1" s="1"/>
  <c r="CY656" i="1"/>
  <c r="X656" i="1" s="1"/>
  <c r="CZ656" i="1"/>
  <c r="Y656" i="1" s="1"/>
  <c r="BY509" i="1"/>
  <c r="AP534" i="1"/>
  <c r="CI534" i="1"/>
  <c r="AB679" i="1"/>
  <c r="GX658" i="1"/>
  <c r="P658" i="1"/>
  <c r="Q658" i="1"/>
  <c r="R658" i="1"/>
  <c r="GK658" i="1" s="1"/>
  <c r="S658" i="1"/>
  <c r="U658" i="1"/>
  <c r="CY653" i="1"/>
  <c r="X653" i="1" s="1"/>
  <c r="CZ653" i="1"/>
  <c r="Y653" i="1" s="1"/>
  <c r="CP653" i="1"/>
  <c r="O653" i="1" s="1"/>
  <c r="CY521" i="1"/>
  <c r="X521" i="1" s="1"/>
  <c r="CZ521" i="1"/>
  <c r="Y521" i="1" s="1"/>
  <c r="CP521" i="1"/>
  <c r="O521" i="1" s="1"/>
  <c r="P673" i="1"/>
  <c r="GX673" i="1"/>
  <c r="CY613" i="1"/>
  <c r="X613" i="1" s="1"/>
  <c r="CZ613" i="1"/>
  <c r="Y613" i="1" s="1"/>
  <c r="CP682" i="1"/>
  <c r="O682" i="1" s="1"/>
  <c r="W673" i="1"/>
  <c r="CP680" i="1"/>
  <c r="O680" i="1" s="1"/>
  <c r="CY678" i="1"/>
  <c r="X678" i="1" s="1"/>
  <c r="CZ678" i="1"/>
  <c r="Y678" i="1" s="1"/>
  <c r="CY677" i="1"/>
  <c r="X677" i="1" s="1"/>
  <c r="CZ677" i="1"/>
  <c r="Y677" i="1" s="1"/>
  <c r="CP669" i="1"/>
  <c r="O669" i="1" s="1"/>
  <c r="CP656" i="1"/>
  <c r="O656" i="1" s="1"/>
  <c r="BZ648" i="1"/>
  <c r="CG685" i="1"/>
  <c r="AQ685" i="1"/>
  <c r="CY671" i="1"/>
  <c r="X671" i="1" s="1"/>
  <c r="CZ671" i="1"/>
  <c r="Y671" i="1" s="1"/>
  <c r="CY662" i="1"/>
  <c r="X662" i="1" s="1"/>
  <c r="CZ662" i="1"/>
  <c r="Y662" i="1" s="1"/>
  <c r="CC648" i="1"/>
  <c r="AT685" i="1"/>
  <c r="CP683" i="1"/>
  <c r="O683" i="1" s="1"/>
  <c r="CI685" i="1"/>
  <c r="AP685" i="1"/>
  <c r="BY648" i="1"/>
  <c r="CB648" i="1"/>
  <c r="AS685" i="1"/>
  <c r="CY528" i="1"/>
  <c r="X528" i="1" s="1"/>
  <c r="CZ528" i="1"/>
  <c r="Y528" i="1" s="1"/>
  <c r="CP666" i="1"/>
  <c r="O666" i="1" s="1"/>
  <c r="W658" i="1"/>
  <c r="CP655" i="1"/>
  <c r="O655" i="1" s="1"/>
  <c r="CP675" i="1"/>
  <c r="O675" i="1" s="1"/>
  <c r="V658" i="1"/>
  <c r="V673" i="1"/>
  <c r="CY682" i="1"/>
  <c r="X682" i="1" s="1"/>
  <c r="CP676" i="1"/>
  <c r="O676" i="1" s="1"/>
  <c r="U673" i="1"/>
  <c r="CP679" i="1"/>
  <c r="O679" i="1" s="1"/>
  <c r="T673" i="1"/>
  <c r="CZ606" i="1"/>
  <c r="Y606" i="1" s="1"/>
  <c r="CY606" i="1"/>
  <c r="X606" i="1" s="1"/>
  <c r="CY668" i="1"/>
  <c r="X668" i="1" s="1"/>
  <c r="CZ668" i="1"/>
  <c r="Y668" i="1" s="1"/>
  <c r="CY669" i="1"/>
  <c r="X669" i="1" s="1"/>
  <c r="CZ669" i="1"/>
  <c r="Y669" i="1" s="1"/>
  <c r="CY666" i="1"/>
  <c r="X666" i="1" s="1"/>
  <c r="CZ666" i="1"/>
  <c r="Y666" i="1" s="1"/>
  <c r="CY667" i="1"/>
  <c r="X667" i="1" s="1"/>
  <c r="CZ667" i="1"/>
  <c r="Y667" i="1" s="1"/>
  <c r="CQ569" i="1"/>
  <c r="P569" i="1" s="1"/>
  <c r="CY672" i="1"/>
  <c r="X672" i="1" s="1"/>
  <c r="CZ672" i="1"/>
  <c r="Y672" i="1" s="1"/>
  <c r="F701" i="1"/>
  <c r="BC648" i="1"/>
  <c r="AB683" i="1"/>
  <c r="CZ680" i="1"/>
  <c r="Y680" i="1" s="1"/>
  <c r="AB673" i="1"/>
  <c r="CY655" i="1"/>
  <c r="X655" i="1" s="1"/>
  <c r="CZ655" i="1"/>
  <c r="Y655" i="1" s="1"/>
  <c r="CP606" i="1"/>
  <c r="O606" i="1" s="1"/>
  <c r="AZ566" i="1"/>
  <c r="F583" i="1"/>
  <c r="S673" i="1"/>
  <c r="CS664" i="1"/>
  <c r="AD664" i="1"/>
  <c r="AB664" i="1" s="1"/>
  <c r="AD660" i="1"/>
  <c r="AB660" i="1" s="1"/>
  <c r="CR660" i="1"/>
  <c r="Q660" i="1" s="1"/>
  <c r="CS660" i="1"/>
  <c r="CY532" i="1"/>
  <c r="X532" i="1" s="1"/>
  <c r="CZ532" i="1"/>
  <c r="Y532" i="1" s="1"/>
  <c r="T668" i="1"/>
  <c r="AB663" i="1"/>
  <c r="CR608" i="1"/>
  <c r="Q608" i="1" s="1"/>
  <c r="CS608" i="1"/>
  <c r="R608" i="1" s="1"/>
  <c r="GK608" i="1" s="1"/>
  <c r="AJ616" i="1"/>
  <c r="CY568" i="1"/>
  <c r="X568" i="1" s="1"/>
  <c r="AD532" i="1"/>
  <c r="CR532" i="1"/>
  <c r="Q532" i="1" s="1"/>
  <c r="CP532" i="1" s="1"/>
  <c r="O532" i="1" s="1"/>
  <c r="CS532" i="1"/>
  <c r="R532" i="1" s="1"/>
  <c r="GK532" i="1" s="1"/>
  <c r="CP528" i="1"/>
  <c r="O528" i="1" s="1"/>
  <c r="CY520" i="1"/>
  <c r="X520" i="1" s="1"/>
  <c r="CZ520" i="1"/>
  <c r="Y520" i="1" s="1"/>
  <c r="AB675" i="1"/>
  <c r="AD672" i="1"/>
  <c r="AB669" i="1"/>
  <c r="V657" i="1"/>
  <c r="AD608" i="1"/>
  <c r="AB608" i="1" s="1"/>
  <c r="AI616" i="1"/>
  <c r="CY525" i="1"/>
  <c r="X525" i="1" s="1"/>
  <c r="CZ525" i="1"/>
  <c r="Y525" i="1" s="1"/>
  <c r="CY429" i="1"/>
  <c r="X429" i="1" s="1"/>
  <c r="CZ429" i="1"/>
  <c r="Y429" i="1" s="1"/>
  <c r="U657" i="1"/>
  <c r="W655" i="1"/>
  <c r="AJ685" i="1" s="1"/>
  <c r="AD651" i="1"/>
  <c r="AB651" i="1" s="1"/>
  <c r="CQ608" i="1"/>
  <c r="P608" i="1" s="1"/>
  <c r="AF572" i="1"/>
  <c r="CY569" i="1"/>
  <c r="X569" i="1" s="1"/>
  <c r="CZ569" i="1"/>
  <c r="Y569" i="1" s="1"/>
  <c r="V568" i="1"/>
  <c r="CQ531" i="1"/>
  <c r="P531" i="1" s="1"/>
  <c r="AB531" i="1"/>
  <c r="AD678" i="1"/>
  <c r="AB678" i="1" s="1"/>
  <c r="AB672" i="1"/>
  <c r="T670" i="1"/>
  <c r="V655" i="1"/>
  <c r="AD652" i="1"/>
  <c r="AB652" i="1" s="1"/>
  <c r="CR652" i="1"/>
  <c r="Q652" i="1" s="1"/>
  <c r="CP652" i="1" s="1"/>
  <c r="O652" i="1" s="1"/>
  <c r="CS652" i="1"/>
  <c r="R652" i="1" s="1"/>
  <c r="GK652" i="1" s="1"/>
  <c r="CP651" i="1"/>
  <c r="O651" i="1" s="1"/>
  <c r="CR569" i="1"/>
  <c r="Q569" i="1" s="1"/>
  <c r="CS569" i="1"/>
  <c r="U568" i="1"/>
  <c r="S670" i="1"/>
  <c r="T667" i="1"/>
  <c r="U655" i="1"/>
  <c r="CR654" i="1"/>
  <c r="Q654" i="1" s="1"/>
  <c r="CP654" i="1" s="1"/>
  <c r="O654" i="1" s="1"/>
  <c r="CS654" i="1"/>
  <c r="AD569" i="1"/>
  <c r="AB569" i="1" s="1"/>
  <c r="T568" i="1"/>
  <c r="CR675" i="1"/>
  <c r="Q675" i="1" s="1"/>
  <c r="CS669" i="1"/>
  <c r="R669" i="1" s="1"/>
  <c r="GK669" i="1" s="1"/>
  <c r="CS662" i="1"/>
  <c r="T657" i="1"/>
  <c r="CZ608" i="1"/>
  <c r="Y608" i="1" s="1"/>
  <c r="AJ566" i="1"/>
  <c r="W572" i="1"/>
  <c r="BX509" i="1"/>
  <c r="CG534" i="1"/>
  <c r="AO534" i="1"/>
  <c r="CY518" i="1"/>
  <c r="X518" i="1" s="1"/>
  <c r="CZ518" i="1"/>
  <c r="Y518" i="1" s="1"/>
  <c r="AB514" i="1"/>
  <c r="CQ514" i="1"/>
  <c r="P514" i="1" s="1"/>
  <c r="CC406" i="1"/>
  <c r="AT443" i="1"/>
  <c r="AD676" i="1"/>
  <c r="AB676" i="1" s="1"/>
  <c r="AB671" i="1"/>
  <c r="CR662" i="1"/>
  <c r="Q662" i="1" s="1"/>
  <c r="CP662" i="1" s="1"/>
  <c r="O662" i="1" s="1"/>
  <c r="W660" i="1"/>
  <c r="GX657" i="1"/>
  <c r="S657" i="1"/>
  <c r="CS655" i="1"/>
  <c r="AD655" i="1"/>
  <c r="AB655" i="1" s="1"/>
  <c r="AB654" i="1"/>
  <c r="F625" i="1"/>
  <c r="CY614" i="1"/>
  <c r="X614" i="1" s="1"/>
  <c r="CZ614" i="1"/>
  <c r="Y614" i="1" s="1"/>
  <c r="AF616" i="1"/>
  <c r="CY607" i="1"/>
  <c r="X607" i="1" s="1"/>
  <c r="CZ607" i="1"/>
  <c r="Y607" i="1" s="1"/>
  <c r="BZ566" i="1"/>
  <c r="CG572" i="1"/>
  <c r="CY529" i="1"/>
  <c r="X529" i="1" s="1"/>
  <c r="CZ529" i="1"/>
  <c r="Y529" i="1" s="1"/>
  <c r="CY421" i="1"/>
  <c r="X421" i="1" s="1"/>
  <c r="CZ421" i="1"/>
  <c r="Y421" i="1" s="1"/>
  <c r="CR664" i="1"/>
  <c r="Q664" i="1" s="1"/>
  <c r="CS672" i="1"/>
  <c r="R672" i="1" s="1"/>
  <c r="GK672" i="1" s="1"/>
  <c r="W668" i="1"/>
  <c r="P667" i="1"/>
  <c r="CP667" i="1" s="1"/>
  <c r="O667" i="1" s="1"/>
  <c r="T658" i="1"/>
  <c r="CR657" i="1"/>
  <c r="Q657" i="1" s="1"/>
  <c r="CS657" i="1"/>
  <c r="CZ654" i="1"/>
  <c r="Y654" i="1" s="1"/>
  <c r="CR611" i="1"/>
  <c r="Q611" i="1" s="1"/>
  <c r="CS611" i="1"/>
  <c r="CS570" i="1"/>
  <c r="R570" i="1" s="1"/>
  <c r="GK570" i="1" s="1"/>
  <c r="CR570" i="1"/>
  <c r="Q570" i="1" s="1"/>
  <c r="BY566" i="1"/>
  <c r="AB682" i="1"/>
  <c r="CZ679" i="1"/>
  <c r="Y679" i="1" s="1"/>
  <c r="AB667" i="1"/>
  <c r="AD657" i="1"/>
  <c r="CY654" i="1"/>
  <c r="X654" i="1" s="1"/>
  <c r="AD614" i="1"/>
  <c r="AB614" i="1" s="1"/>
  <c r="AD611" i="1"/>
  <c r="AB611" i="1" s="1"/>
  <c r="AD607" i="1"/>
  <c r="AB607" i="1" s="1"/>
  <c r="BY604" i="1"/>
  <c r="AQ572" i="1"/>
  <c r="AD570" i="1"/>
  <c r="F581" i="1"/>
  <c r="AP566" i="1"/>
  <c r="CS678" i="1"/>
  <c r="R678" i="1" s="1"/>
  <c r="GK678" i="1" s="1"/>
  <c r="V660" i="1"/>
  <c r="P657" i="1"/>
  <c r="CS651" i="1"/>
  <c r="F632" i="1"/>
  <c r="BC604" i="1"/>
  <c r="CP614" i="1"/>
  <c r="O614" i="1" s="1"/>
  <c r="CQ611" i="1"/>
  <c r="P611" i="1" s="1"/>
  <c r="CZ610" i="1"/>
  <c r="Y610" i="1" s="1"/>
  <c r="CY610" i="1"/>
  <c r="X610" i="1" s="1"/>
  <c r="GM610" i="1" s="1"/>
  <c r="GP610" i="1" s="1"/>
  <c r="CP607" i="1"/>
  <c r="O607" i="1" s="1"/>
  <c r="AO566" i="1"/>
  <c r="F576" i="1"/>
  <c r="AB570" i="1"/>
  <c r="CQ570" i="1"/>
  <c r="P570" i="1" s="1"/>
  <c r="CP570" i="1" s="1"/>
  <c r="O570" i="1" s="1"/>
  <c r="GM570" i="1" s="1"/>
  <c r="GP570" i="1" s="1"/>
  <c r="GX568" i="1"/>
  <c r="CP529" i="1"/>
  <c r="O529" i="1" s="1"/>
  <c r="BD685" i="1"/>
  <c r="CZ683" i="1"/>
  <c r="Y683" i="1" s="1"/>
  <c r="CS682" i="1"/>
  <c r="AD670" i="1"/>
  <c r="CR670" i="1"/>
  <c r="Q670" i="1" s="1"/>
  <c r="CP670" i="1" s="1"/>
  <c r="O670" i="1" s="1"/>
  <c r="CS670" i="1"/>
  <c r="U664" i="1"/>
  <c r="GX663" i="1"/>
  <c r="U660" i="1"/>
  <c r="AB657" i="1"/>
  <c r="CZ652" i="1"/>
  <c r="Y652" i="1" s="1"/>
  <c r="BC572" i="1"/>
  <c r="CL566" i="1"/>
  <c r="CP520" i="1"/>
  <c r="O520" i="1" s="1"/>
  <c r="T660" i="1"/>
  <c r="CP609" i="1"/>
  <c r="O609" i="1" s="1"/>
  <c r="BB572" i="1"/>
  <c r="CK566" i="1"/>
  <c r="Q568" i="1"/>
  <c r="CP568" i="1" s="1"/>
  <c r="O568" i="1" s="1"/>
  <c r="BZ509" i="1"/>
  <c r="AQ534" i="1"/>
  <c r="CY517" i="1"/>
  <c r="X517" i="1" s="1"/>
  <c r="CZ517" i="1"/>
  <c r="Y517" i="1" s="1"/>
  <c r="BB685" i="1"/>
  <c r="AB670" i="1"/>
  <c r="CR663" i="1"/>
  <c r="Q663" i="1" s="1"/>
  <c r="CP663" i="1" s="1"/>
  <c r="O663" i="1" s="1"/>
  <c r="CS663" i="1"/>
  <c r="GX660" i="1"/>
  <c r="S660" i="1"/>
  <c r="BZ616" i="1"/>
  <c r="CI616" i="1" s="1"/>
  <c r="V572" i="1"/>
  <c r="CZ530" i="1"/>
  <c r="Y530" i="1" s="1"/>
  <c r="CY524" i="1"/>
  <c r="X524" i="1" s="1"/>
  <c r="CZ524" i="1"/>
  <c r="Y524" i="1" s="1"/>
  <c r="CQ523" i="1"/>
  <c r="P523" i="1" s="1"/>
  <c r="AB523" i="1"/>
  <c r="CY430" i="1"/>
  <c r="X430" i="1" s="1"/>
  <c r="CZ430" i="1"/>
  <c r="Y430" i="1" s="1"/>
  <c r="BY406" i="1"/>
  <c r="AP443" i="1"/>
  <c r="CP365" i="1"/>
  <c r="O365" i="1" s="1"/>
  <c r="BD509" i="1"/>
  <c r="F559" i="1"/>
  <c r="T522" i="1"/>
  <c r="V515" i="1"/>
  <c r="CC534" i="1"/>
  <c r="CY513" i="1"/>
  <c r="X513" i="1" s="1"/>
  <c r="CZ513" i="1"/>
  <c r="Y513" i="1" s="1"/>
  <c r="AB528" i="1"/>
  <c r="S522" i="1"/>
  <c r="CB534" i="1"/>
  <c r="V512" i="1"/>
  <c r="U436" i="1"/>
  <c r="CP430" i="1"/>
  <c r="O430" i="1" s="1"/>
  <c r="F383" i="1"/>
  <c r="AP362" i="1"/>
  <c r="CR531" i="1"/>
  <c r="Q531" i="1" s="1"/>
  <c r="CS531" i="1"/>
  <c r="R531" i="1" s="1"/>
  <c r="GK531" i="1" s="1"/>
  <c r="AD530" i="1"/>
  <c r="AB530" i="1" s="1"/>
  <c r="AB524" i="1"/>
  <c r="CY516" i="1"/>
  <c r="X516" i="1" s="1"/>
  <c r="CZ516" i="1"/>
  <c r="Y516" i="1" s="1"/>
  <c r="U512" i="1"/>
  <c r="CY440" i="1"/>
  <c r="X440" i="1" s="1"/>
  <c r="CZ440" i="1"/>
  <c r="Y440" i="1" s="1"/>
  <c r="CP438" i="1"/>
  <c r="O438" i="1" s="1"/>
  <c r="CP530" i="1"/>
  <c r="O530" i="1" s="1"/>
  <c r="AB532" i="1"/>
  <c r="W527" i="1"/>
  <c r="GX522" i="1"/>
  <c r="CR518" i="1"/>
  <c r="Q518" i="1" s="1"/>
  <c r="CS518" i="1"/>
  <c r="T515" i="1"/>
  <c r="Q436" i="1"/>
  <c r="CP434" i="1"/>
  <c r="O434" i="1" s="1"/>
  <c r="AF330" i="1"/>
  <c r="CY327" i="1"/>
  <c r="X327" i="1" s="1"/>
  <c r="CZ327" i="1"/>
  <c r="Y327" i="1" s="1"/>
  <c r="AB568" i="1"/>
  <c r="CR526" i="1"/>
  <c r="Q526" i="1" s="1"/>
  <c r="CS526" i="1"/>
  <c r="R526" i="1" s="1"/>
  <c r="GK526" i="1" s="1"/>
  <c r="AD518" i="1"/>
  <c r="AB518" i="1" s="1"/>
  <c r="GX515" i="1"/>
  <c r="S515" i="1"/>
  <c r="T512" i="1"/>
  <c r="CY511" i="1"/>
  <c r="X511" i="1" s="1"/>
  <c r="GM511" i="1" s="1"/>
  <c r="GP511" i="1" s="1"/>
  <c r="CZ511" i="1"/>
  <c r="Y511" i="1" s="1"/>
  <c r="BD406" i="1"/>
  <c r="F468" i="1"/>
  <c r="AB433" i="1"/>
  <c r="S431" i="1"/>
  <c r="V527" i="1"/>
  <c r="CR522" i="1"/>
  <c r="Q522" i="1" s="1"/>
  <c r="CS522" i="1"/>
  <c r="CP518" i="1"/>
  <c r="O518" i="1" s="1"/>
  <c r="CR515" i="1"/>
  <c r="Q515" i="1" s="1"/>
  <c r="CS515" i="1"/>
  <c r="CP513" i="1"/>
  <c r="O513" i="1" s="1"/>
  <c r="S512" i="1"/>
  <c r="U527" i="1"/>
  <c r="P526" i="1"/>
  <c r="V523" i="1"/>
  <c r="AD522" i="1"/>
  <c r="AB522" i="1" s="1"/>
  <c r="AD515" i="1"/>
  <c r="AB515" i="1" s="1"/>
  <c r="W513" i="1"/>
  <c r="CR512" i="1"/>
  <c r="Q512" i="1" s="1"/>
  <c r="CS512" i="1"/>
  <c r="R512" i="1" s="1"/>
  <c r="GK512" i="1" s="1"/>
  <c r="GX436" i="1"/>
  <c r="CP421" i="1"/>
  <c r="O421" i="1" s="1"/>
  <c r="GM421" i="1" s="1"/>
  <c r="GP421" i="1" s="1"/>
  <c r="V570" i="1"/>
  <c r="CZ531" i="1"/>
  <c r="Y531" i="1" s="1"/>
  <c r="T527" i="1"/>
  <c r="AB526" i="1"/>
  <c r="U523" i="1"/>
  <c r="P522" i="1"/>
  <c r="CY519" i="1"/>
  <c r="X519" i="1" s="1"/>
  <c r="CZ519" i="1"/>
  <c r="Y519" i="1" s="1"/>
  <c r="P515" i="1"/>
  <c r="V513" i="1"/>
  <c r="AD512" i="1"/>
  <c r="AB512" i="1" s="1"/>
  <c r="CY416" i="1"/>
  <c r="X416" i="1" s="1"/>
  <c r="CZ416" i="1"/>
  <c r="Y416" i="1" s="1"/>
  <c r="GX570" i="1"/>
  <c r="GX569" i="1"/>
  <c r="CJ572" i="1" s="1"/>
  <c r="CS568" i="1"/>
  <c r="R568" i="1" s="1"/>
  <c r="GK568" i="1" s="1"/>
  <c r="S527" i="1"/>
  <c r="CZ526" i="1"/>
  <c r="Y526" i="1" s="1"/>
  <c r="T523" i="1"/>
  <c r="CY514" i="1"/>
  <c r="X514" i="1" s="1"/>
  <c r="CZ514" i="1"/>
  <c r="Y514" i="1" s="1"/>
  <c r="U513" i="1"/>
  <c r="CQ512" i="1"/>
  <c r="P512" i="1" s="1"/>
  <c r="CQ441" i="1"/>
  <c r="P441" i="1" s="1"/>
  <c r="CP441" i="1" s="1"/>
  <c r="O441" i="1" s="1"/>
  <c r="GX431" i="1"/>
  <c r="CP429" i="1"/>
  <c r="O429" i="1" s="1"/>
  <c r="GM429" i="1" s="1"/>
  <c r="GP429" i="1" s="1"/>
  <c r="BD616" i="1"/>
  <c r="CR612" i="1"/>
  <c r="Q612" i="1" s="1"/>
  <c r="CP612" i="1" s="1"/>
  <c r="O612" i="1" s="1"/>
  <c r="CS612" i="1"/>
  <c r="R612" i="1" s="1"/>
  <c r="GK612" i="1" s="1"/>
  <c r="F550" i="1"/>
  <c r="CS530" i="1"/>
  <c r="CR527" i="1"/>
  <c r="Q527" i="1" s="1"/>
  <c r="CS527" i="1"/>
  <c r="AD527" i="1"/>
  <c r="AB527" i="1" s="1"/>
  <c r="S523" i="1"/>
  <c r="CQ519" i="1"/>
  <c r="P519" i="1" s="1"/>
  <c r="CP519" i="1" s="1"/>
  <c r="O519" i="1" s="1"/>
  <c r="W512" i="1"/>
  <c r="AD434" i="1"/>
  <c r="AB434" i="1" s="1"/>
  <c r="CR434" i="1"/>
  <c r="Q434" i="1" s="1"/>
  <c r="CS434" i="1"/>
  <c r="R434" i="1" s="1"/>
  <c r="GK434" i="1" s="1"/>
  <c r="CB443" i="1"/>
  <c r="GX527" i="1"/>
  <c r="CQ527" i="1"/>
  <c r="P527" i="1" s="1"/>
  <c r="CR523" i="1"/>
  <c r="Q523" i="1" s="1"/>
  <c r="CS523" i="1"/>
  <c r="R523" i="1" s="1"/>
  <c r="GK523" i="1" s="1"/>
  <c r="AD523" i="1"/>
  <c r="CY435" i="1"/>
  <c r="X435" i="1" s="1"/>
  <c r="CZ435" i="1"/>
  <c r="Y435" i="1" s="1"/>
  <c r="CY427" i="1"/>
  <c r="X427" i="1" s="1"/>
  <c r="CZ427" i="1"/>
  <c r="Y427" i="1" s="1"/>
  <c r="GM427" i="1" s="1"/>
  <c r="GP427" i="1" s="1"/>
  <c r="CY425" i="1"/>
  <c r="X425" i="1" s="1"/>
  <c r="CZ425" i="1"/>
  <c r="Y425" i="1" s="1"/>
  <c r="BZ443" i="1"/>
  <c r="P431" i="1"/>
  <c r="BC406" i="1"/>
  <c r="CE324" i="1"/>
  <c r="AV330" i="1"/>
  <c r="CR269" i="1"/>
  <c r="Q269" i="1" s="1"/>
  <c r="CS269" i="1"/>
  <c r="R269" i="1" s="1"/>
  <c r="GK269" i="1" s="1"/>
  <c r="AD269" i="1"/>
  <c r="AB269" i="1" s="1"/>
  <c r="CG362" i="1"/>
  <c r="AX374" i="1"/>
  <c r="CZ372" i="1"/>
  <c r="Y372" i="1" s="1"/>
  <c r="CY372" i="1"/>
  <c r="X372" i="1" s="1"/>
  <c r="GM372" i="1" s="1"/>
  <c r="GP372" i="1" s="1"/>
  <c r="CP327" i="1"/>
  <c r="O327" i="1" s="1"/>
  <c r="CR422" i="1"/>
  <c r="Q422" i="1" s="1"/>
  <c r="CS422" i="1"/>
  <c r="CY420" i="1"/>
  <c r="X420" i="1" s="1"/>
  <c r="CZ420" i="1"/>
  <c r="Y420" i="1" s="1"/>
  <c r="CY411" i="1"/>
  <c r="X411" i="1" s="1"/>
  <c r="CZ411" i="1"/>
  <c r="Y411" i="1" s="1"/>
  <c r="AQ374" i="1"/>
  <c r="BZ362" i="1"/>
  <c r="CZ369" i="1"/>
  <c r="Y369" i="1" s="1"/>
  <c r="CY369" i="1"/>
  <c r="X369" i="1" s="1"/>
  <c r="CC324" i="1"/>
  <c r="AT330" i="1"/>
  <c r="AD422" i="1"/>
  <c r="AB421" i="1"/>
  <c r="V417" i="1"/>
  <c r="CR415" i="1"/>
  <c r="Q415" i="1" s="1"/>
  <c r="CS415" i="1"/>
  <c r="T436" i="1"/>
  <c r="W426" i="1"/>
  <c r="U417" i="1"/>
  <c r="S414" i="1"/>
  <c r="CY412" i="1"/>
  <c r="X412" i="1" s="1"/>
  <c r="CZ412" i="1"/>
  <c r="Y412" i="1" s="1"/>
  <c r="AB369" i="1"/>
  <c r="F340" i="1"/>
  <c r="AQ324" i="1"/>
  <c r="CQ326" i="1"/>
  <c r="P326" i="1" s="1"/>
  <c r="AB326" i="1"/>
  <c r="S436" i="1"/>
  <c r="U431" i="1"/>
  <c r="U428" i="1"/>
  <c r="V426" i="1"/>
  <c r="AB422" i="1"/>
  <c r="T417" i="1"/>
  <c r="R414" i="1"/>
  <c r="GK414" i="1" s="1"/>
  <c r="CY366" i="1"/>
  <c r="X366" i="1" s="1"/>
  <c r="CZ366" i="1"/>
  <c r="Y366" i="1" s="1"/>
  <c r="CI330" i="1"/>
  <c r="AP330" i="1"/>
  <c r="AD519" i="1"/>
  <c r="AB519" i="1" s="1"/>
  <c r="AD441" i="1"/>
  <c r="AB441" i="1" s="1"/>
  <c r="R436" i="1"/>
  <c r="GK436" i="1" s="1"/>
  <c r="T431" i="1"/>
  <c r="T428" i="1"/>
  <c r="U426" i="1"/>
  <c r="AB415" i="1"/>
  <c r="W414" i="1"/>
  <c r="CY370" i="1"/>
  <c r="X370" i="1" s="1"/>
  <c r="CZ370" i="1"/>
  <c r="Y370" i="1" s="1"/>
  <c r="CY365" i="1"/>
  <c r="X365" i="1" s="1"/>
  <c r="CZ365" i="1"/>
  <c r="Y365" i="1" s="1"/>
  <c r="BB267" i="1"/>
  <c r="F305" i="1"/>
  <c r="CR272" i="1"/>
  <c r="Q272" i="1" s="1"/>
  <c r="AD272" i="1"/>
  <c r="AB272" i="1" s="1"/>
  <c r="CS272" i="1"/>
  <c r="R431" i="1"/>
  <c r="GK431" i="1" s="1"/>
  <c r="CZ424" i="1"/>
  <c r="Y424" i="1" s="1"/>
  <c r="U414" i="1"/>
  <c r="AO374" i="1"/>
  <c r="AG324" i="1"/>
  <c r="T330" i="1"/>
  <c r="V433" i="1"/>
  <c r="W429" i="1"/>
  <c r="GX426" i="1"/>
  <c r="AD426" i="1"/>
  <c r="CR426" i="1"/>
  <c r="Q426" i="1" s="1"/>
  <c r="CP426" i="1" s="1"/>
  <c r="O426" i="1" s="1"/>
  <c r="CS426" i="1"/>
  <c r="AB425" i="1"/>
  <c r="GX417" i="1"/>
  <c r="T414" i="1"/>
  <c r="CR371" i="1"/>
  <c r="Q371" i="1" s="1"/>
  <c r="CP371" i="1" s="1"/>
  <c r="O371" i="1" s="1"/>
  <c r="AD371" i="1"/>
  <c r="CP370" i="1"/>
  <c r="O370" i="1" s="1"/>
  <c r="CR368" i="1"/>
  <c r="Q368" i="1" s="1"/>
  <c r="CS368" i="1"/>
  <c r="R368" i="1" s="1"/>
  <c r="GK368" i="1" s="1"/>
  <c r="CP366" i="1"/>
  <c r="O366" i="1" s="1"/>
  <c r="GM366" i="1" s="1"/>
  <c r="GP366" i="1" s="1"/>
  <c r="AC324" i="1"/>
  <c r="CF330" i="1"/>
  <c r="CH330" i="1"/>
  <c r="P330" i="1"/>
  <c r="T437" i="1"/>
  <c r="V429" i="1"/>
  <c r="GX428" i="1"/>
  <c r="AB426" i="1"/>
  <c r="S417" i="1"/>
  <c r="CZ415" i="1"/>
  <c r="Y415" i="1" s="1"/>
  <c r="AD368" i="1"/>
  <c r="AB368" i="1" s="1"/>
  <c r="CY328" i="1"/>
  <c r="X328" i="1" s="1"/>
  <c r="CZ328" i="1"/>
  <c r="Y328" i="1" s="1"/>
  <c r="CJ324" i="1"/>
  <c r="BA330" i="1"/>
  <c r="S437" i="1"/>
  <c r="S428" i="1"/>
  <c r="V422" i="1"/>
  <c r="W420" i="1"/>
  <c r="AJ443" i="1" s="1"/>
  <c r="CR417" i="1"/>
  <c r="Q417" i="1" s="1"/>
  <c r="CS417" i="1"/>
  <c r="CR414" i="1"/>
  <c r="Q414" i="1" s="1"/>
  <c r="CP414" i="1" s="1"/>
  <c r="O414" i="1" s="1"/>
  <c r="AD414" i="1"/>
  <c r="AB414" i="1" s="1"/>
  <c r="W411" i="1"/>
  <c r="CS519" i="1"/>
  <c r="CR437" i="1"/>
  <c r="Q437" i="1" s="1"/>
  <c r="CS437" i="1"/>
  <c r="R437" i="1" s="1"/>
  <c r="GK437" i="1" s="1"/>
  <c r="U433" i="1"/>
  <c r="CR428" i="1"/>
  <c r="Q428" i="1" s="1"/>
  <c r="CS428" i="1"/>
  <c r="U422" i="1"/>
  <c r="V420" i="1"/>
  <c r="AD417" i="1"/>
  <c r="AB417" i="1" s="1"/>
  <c r="CP409" i="1"/>
  <c r="O409" i="1" s="1"/>
  <c r="AQ292" i="1"/>
  <c r="BZ267" i="1"/>
  <c r="AT572" i="1"/>
  <c r="CS441" i="1"/>
  <c r="R441" i="1" s="1"/>
  <c r="GK441" i="1" s="1"/>
  <c r="AD437" i="1"/>
  <c r="T433" i="1"/>
  <c r="AD428" i="1"/>
  <c r="AB428" i="1" s="1"/>
  <c r="U420" i="1"/>
  <c r="CQ417" i="1"/>
  <c r="P417" i="1" s="1"/>
  <c r="U411" i="1"/>
  <c r="CY409" i="1"/>
  <c r="X409" i="1" s="1"/>
  <c r="AB409" i="1"/>
  <c r="CK362" i="1"/>
  <c r="BB374" i="1"/>
  <c r="S367" i="1"/>
  <c r="CR364" i="1"/>
  <c r="Q364" i="1" s="1"/>
  <c r="CP364" i="1" s="1"/>
  <c r="O364" i="1" s="1"/>
  <c r="CS364" i="1"/>
  <c r="R364" i="1" s="1"/>
  <c r="GK364" i="1" s="1"/>
  <c r="AD364" i="1"/>
  <c r="CP328" i="1"/>
  <c r="O328" i="1" s="1"/>
  <c r="BY324" i="1"/>
  <c r="CY287" i="1"/>
  <c r="X287" i="1" s="1"/>
  <c r="CZ287" i="1"/>
  <c r="Y287" i="1" s="1"/>
  <c r="AP292" i="1"/>
  <c r="CI292" i="1"/>
  <c r="BY267" i="1"/>
  <c r="CZ270" i="1"/>
  <c r="Y270" i="1" s="1"/>
  <c r="AB511" i="1"/>
  <c r="S433" i="1"/>
  <c r="Q431" i="1"/>
  <c r="AB429" i="1"/>
  <c r="P428" i="1"/>
  <c r="T420" i="1"/>
  <c r="CY413" i="1"/>
  <c r="X413" i="1" s="1"/>
  <c r="CZ413" i="1"/>
  <c r="Y413" i="1" s="1"/>
  <c r="T411" i="1"/>
  <c r="CS513" i="1"/>
  <c r="AB437" i="1"/>
  <c r="P436" i="1"/>
  <c r="CP436" i="1" s="1"/>
  <c r="O436" i="1" s="1"/>
  <c r="CR433" i="1"/>
  <c r="Q433" i="1" s="1"/>
  <c r="CP433" i="1" s="1"/>
  <c r="O433" i="1" s="1"/>
  <c r="CS433" i="1"/>
  <c r="AD431" i="1"/>
  <c r="AB431" i="1" s="1"/>
  <c r="CI374" i="1"/>
  <c r="CY290" i="1"/>
  <c r="X290" i="1" s="1"/>
  <c r="CZ290" i="1"/>
  <c r="Y290" i="1" s="1"/>
  <c r="CY283" i="1"/>
  <c r="X283" i="1" s="1"/>
  <c r="CZ283" i="1"/>
  <c r="Y283" i="1" s="1"/>
  <c r="CP286" i="1"/>
  <c r="O286" i="1" s="1"/>
  <c r="CQ269" i="1"/>
  <c r="P269" i="1" s="1"/>
  <c r="CP287" i="1"/>
  <c r="O287" i="1" s="1"/>
  <c r="CQ285" i="1"/>
  <c r="P285" i="1" s="1"/>
  <c r="CP285" i="1" s="1"/>
  <c r="O285" i="1" s="1"/>
  <c r="AB285" i="1"/>
  <c r="CY280" i="1"/>
  <c r="X280" i="1" s="1"/>
  <c r="CZ280" i="1"/>
  <c r="Y280" i="1" s="1"/>
  <c r="CY191" i="1"/>
  <c r="X191" i="1" s="1"/>
  <c r="CZ191" i="1"/>
  <c r="Y191" i="1" s="1"/>
  <c r="U367" i="1"/>
  <c r="CZ289" i="1"/>
  <c r="Y289" i="1" s="1"/>
  <c r="T288" i="1"/>
  <c r="CR280" i="1"/>
  <c r="Q280" i="1" s="1"/>
  <c r="CS280" i="1"/>
  <c r="AD280" i="1"/>
  <c r="AB280" i="1" s="1"/>
  <c r="CY277" i="1"/>
  <c r="X277" i="1" s="1"/>
  <c r="CZ277" i="1"/>
  <c r="Y277" i="1" s="1"/>
  <c r="W276" i="1"/>
  <c r="T367" i="1"/>
  <c r="AG374" i="1" s="1"/>
  <c r="S288" i="1"/>
  <c r="CR277" i="1"/>
  <c r="Q277" i="1" s="1"/>
  <c r="CS277" i="1"/>
  <c r="AD277" i="1"/>
  <c r="AB277" i="1" s="1"/>
  <c r="V276" i="1"/>
  <c r="W272" i="1"/>
  <c r="CY194" i="1"/>
  <c r="X194" i="1" s="1"/>
  <c r="CZ194" i="1"/>
  <c r="Y194" i="1" s="1"/>
  <c r="BD362" i="1"/>
  <c r="F399" i="1"/>
  <c r="R367" i="1"/>
  <c r="CG330" i="1"/>
  <c r="CC292" i="1"/>
  <c r="AD420" i="1"/>
  <c r="AB420" i="1" s="1"/>
  <c r="AB372" i="1"/>
  <c r="W368" i="1"/>
  <c r="W326" i="1"/>
  <c r="U289" i="1"/>
  <c r="CQ279" i="1"/>
  <c r="P279" i="1" s="1"/>
  <c r="CY274" i="1"/>
  <c r="X274" i="1" s="1"/>
  <c r="CZ274" i="1"/>
  <c r="Y274" i="1" s="1"/>
  <c r="CB292" i="1"/>
  <c r="AB371" i="1"/>
  <c r="V368" i="1"/>
  <c r="AB364" i="1"/>
  <c r="GX288" i="1"/>
  <c r="S272" i="1"/>
  <c r="CQ177" i="1"/>
  <c r="P177" i="1" s="1"/>
  <c r="AB177" i="1"/>
  <c r="AO443" i="1"/>
  <c r="CZ371" i="1"/>
  <c r="Y371" i="1" s="1"/>
  <c r="AB365" i="1"/>
  <c r="V326" i="1"/>
  <c r="CY285" i="1"/>
  <c r="X285" i="1" s="1"/>
  <c r="CZ278" i="1"/>
  <c r="Y278" i="1" s="1"/>
  <c r="CC374" i="1"/>
  <c r="AS330" i="1"/>
  <c r="U326" i="1"/>
  <c r="W285" i="1"/>
  <c r="CY282" i="1"/>
  <c r="X282" i="1" s="1"/>
  <c r="CZ282" i="1"/>
  <c r="Y282" i="1" s="1"/>
  <c r="AB424" i="1"/>
  <c r="U368" i="1"/>
  <c r="CB374" i="1"/>
  <c r="T326" i="1"/>
  <c r="AD410" i="1"/>
  <c r="AB410" i="1" s="1"/>
  <c r="T368" i="1"/>
  <c r="Q367" i="1"/>
  <c r="CZ364" i="1"/>
  <c r="Y364" i="1" s="1"/>
  <c r="S326" i="1"/>
  <c r="BX267" i="1"/>
  <c r="AO292" i="1"/>
  <c r="CG292" i="1"/>
  <c r="CY271" i="1"/>
  <c r="X271" i="1" s="1"/>
  <c r="CZ271" i="1"/>
  <c r="Y271" i="1" s="1"/>
  <c r="AD418" i="1"/>
  <c r="AB418" i="1" s="1"/>
  <c r="S368" i="1"/>
  <c r="AD367" i="1"/>
  <c r="AB367" i="1" s="1"/>
  <c r="GX326" i="1"/>
  <c r="CR326" i="1"/>
  <c r="Q326" i="1" s="1"/>
  <c r="CS326" i="1"/>
  <c r="R326" i="1" s="1"/>
  <c r="GK326" i="1" s="1"/>
  <c r="BD292" i="1"/>
  <c r="W290" i="1"/>
  <c r="CY286" i="1"/>
  <c r="X286" i="1" s="1"/>
  <c r="CZ286" i="1"/>
  <c r="Y286" i="1" s="1"/>
  <c r="GK271" i="1"/>
  <c r="CY197" i="1"/>
  <c r="X197" i="1" s="1"/>
  <c r="CZ197" i="1"/>
  <c r="Y197" i="1" s="1"/>
  <c r="CR187" i="1"/>
  <c r="Q187" i="1" s="1"/>
  <c r="CS187" i="1"/>
  <c r="R187" i="1" s="1"/>
  <c r="GK187" i="1" s="1"/>
  <c r="AD187" i="1"/>
  <c r="CZ171" i="1"/>
  <c r="Y171" i="1" s="1"/>
  <c r="CY171" i="1"/>
  <c r="X171" i="1" s="1"/>
  <c r="CY188" i="1"/>
  <c r="X188" i="1" s="1"/>
  <c r="CZ188" i="1"/>
  <c r="Y188" i="1" s="1"/>
  <c r="AI124" i="1"/>
  <c r="V136" i="1"/>
  <c r="V273" i="1"/>
  <c r="AI292" i="1" s="1"/>
  <c r="AB180" i="1"/>
  <c r="CY190" i="1"/>
  <c r="X190" i="1" s="1"/>
  <c r="CZ190" i="1"/>
  <c r="Y190" i="1" s="1"/>
  <c r="AZ92" i="1"/>
  <c r="CI86" i="1"/>
  <c r="U288" i="1"/>
  <c r="W281" i="1"/>
  <c r="CY275" i="1"/>
  <c r="X275" i="1" s="1"/>
  <c r="CZ275" i="1"/>
  <c r="Y275" i="1" s="1"/>
  <c r="CP188" i="1"/>
  <c r="O188" i="1" s="1"/>
  <c r="CP197" i="1"/>
  <c r="O197" i="1" s="1"/>
  <c r="CR194" i="1"/>
  <c r="Q194" i="1" s="1"/>
  <c r="CS194" i="1"/>
  <c r="R194" i="1" s="1"/>
  <c r="GK194" i="1" s="1"/>
  <c r="AD194" i="1"/>
  <c r="AB194" i="1" s="1"/>
  <c r="CY184" i="1"/>
  <c r="X184" i="1" s="1"/>
  <c r="CZ176" i="1"/>
  <c r="Y176" i="1" s="1"/>
  <c r="CY176" i="1"/>
  <c r="X176" i="1" s="1"/>
  <c r="AP54" i="1"/>
  <c r="BY30" i="1"/>
  <c r="BD330" i="1"/>
  <c r="T281" i="1"/>
  <c r="U276" i="1"/>
  <c r="CP275" i="1"/>
  <c r="O275" i="1" s="1"/>
  <c r="GX273" i="1"/>
  <c r="S273" i="1"/>
  <c r="V192" i="1"/>
  <c r="BC330" i="1"/>
  <c r="GX284" i="1"/>
  <c r="T276" i="1"/>
  <c r="CR273" i="1"/>
  <c r="Q273" i="1" s="1"/>
  <c r="CS273" i="1"/>
  <c r="P272" i="1"/>
  <c r="CY193" i="1"/>
  <c r="X193" i="1" s="1"/>
  <c r="CZ193" i="1"/>
  <c r="Y193" i="1" s="1"/>
  <c r="U192" i="1"/>
  <c r="U191" i="1"/>
  <c r="P187" i="1"/>
  <c r="CZ185" i="1"/>
  <c r="Y185" i="1" s="1"/>
  <c r="CY185" i="1"/>
  <c r="X185" i="1" s="1"/>
  <c r="CP176" i="1"/>
  <c r="O176" i="1" s="1"/>
  <c r="BB330" i="1"/>
  <c r="T289" i="1"/>
  <c r="V285" i="1"/>
  <c r="CR281" i="1"/>
  <c r="Q281" i="1" s="1"/>
  <c r="CP281" i="1" s="1"/>
  <c r="O281" i="1" s="1"/>
  <c r="CS281" i="1"/>
  <c r="R281" i="1" s="1"/>
  <c r="GK281" i="1" s="1"/>
  <c r="AD273" i="1"/>
  <c r="CR195" i="1"/>
  <c r="Q195" i="1" s="1"/>
  <c r="CS195" i="1"/>
  <c r="R195" i="1" s="1"/>
  <c r="GK195" i="1" s="1"/>
  <c r="T192" i="1"/>
  <c r="T191" i="1"/>
  <c r="CC201" i="1"/>
  <c r="U285" i="1"/>
  <c r="BX168" i="1"/>
  <c r="AO201" i="1"/>
  <c r="AD195" i="1"/>
  <c r="AB195" i="1" s="1"/>
  <c r="S192" i="1"/>
  <c r="W187" i="1"/>
  <c r="CP186" i="1"/>
  <c r="O186" i="1" s="1"/>
  <c r="W180" i="1"/>
  <c r="CB201" i="1"/>
  <c r="CR289" i="1"/>
  <c r="Q289" i="1" s="1"/>
  <c r="CP289" i="1" s="1"/>
  <c r="O289" i="1" s="1"/>
  <c r="GM289" i="1" s="1"/>
  <c r="GP289" i="1" s="1"/>
  <c r="CS289" i="1"/>
  <c r="R289" i="1" s="1"/>
  <c r="GK289" i="1" s="1"/>
  <c r="T285" i="1"/>
  <c r="CR284" i="1"/>
  <c r="Q284" i="1" s="1"/>
  <c r="CS284" i="1"/>
  <c r="R284" i="1" s="1"/>
  <c r="GK284" i="1" s="1"/>
  <c r="AB273" i="1"/>
  <c r="BD201" i="1"/>
  <c r="CY199" i="1"/>
  <c r="X199" i="1" s="1"/>
  <c r="CZ199" i="1"/>
  <c r="Y199" i="1" s="1"/>
  <c r="CR192" i="1"/>
  <c r="Q192" i="1" s="1"/>
  <c r="CS192" i="1"/>
  <c r="AD192" i="1"/>
  <c r="W191" i="1"/>
  <c r="V187" i="1"/>
  <c r="BZ201" i="1"/>
  <c r="CG201" i="1" s="1"/>
  <c r="CY173" i="1"/>
  <c r="X173" i="1" s="1"/>
  <c r="CY52" i="1"/>
  <c r="X52" i="1" s="1"/>
  <c r="CZ52" i="1"/>
  <c r="Y52" i="1" s="1"/>
  <c r="AD289" i="1"/>
  <c r="AB289" i="1" s="1"/>
  <c r="CR288" i="1"/>
  <c r="Q288" i="1" s="1"/>
  <c r="CS288" i="1"/>
  <c r="AD284" i="1"/>
  <c r="AB284" i="1" s="1"/>
  <c r="CY279" i="1"/>
  <c r="X279" i="1" s="1"/>
  <c r="CZ279" i="1"/>
  <c r="Y279" i="1" s="1"/>
  <c r="W277" i="1"/>
  <c r="GX276" i="1"/>
  <c r="U269" i="1"/>
  <c r="BC201" i="1"/>
  <c r="AB197" i="1"/>
  <c r="U194" i="1"/>
  <c r="P192" i="1"/>
  <c r="V191" i="1"/>
  <c r="U187" i="1"/>
  <c r="V177" i="1"/>
  <c r="BY201" i="1"/>
  <c r="V173" i="1"/>
  <c r="AD288" i="1"/>
  <c r="AB288" i="1" s="1"/>
  <c r="CR285" i="1"/>
  <c r="Q285" i="1" s="1"/>
  <c r="CS285" i="1"/>
  <c r="P284" i="1"/>
  <c r="W280" i="1"/>
  <c r="V277" i="1"/>
  <c r="S276" i="1"/>
  <c r="AB274" i="1"/>
  <c r="U272" i="1"/>
  <c r="T269" i="1"/>
  <c r="AB192" i="1"/>
  <c r="T187" i="1"/>
  <c r="P288" i="1"/>
  <c r="U277" i="1"/>
  <c r="CR276" i="1"/>
  <c r="Q276" i="1" s="1"/>
  <c r="CP276" i="1" s="1"/>
  <c r="O276" i="1" s="1"/>
  <c r="CS276" i="1"/>
  <c r="T272" i="1"/>
  <c r="GX269" i="1"/>
  <c r="S269" i="1"/>
  <c r="P194" i="1"/>
  <c r="S187" i="1"/>
  <c r="CZ186" i="1"/>
  <c r="Y186" i="1" s="1"/>
  <c r="CY186" i="1"/>
  <c r="X186" i="1" s="1"/>
  <c r="CZ181" i="1"/>
  <c r="Y181" i="1" s="1"/>
  <c r="CY181" i="1"/>
  <c r="X181" i="1" s="1"/>
  <c r="CR131" i="1"/>
  <c r="Q131" i="1" s="1"/>
  <c r="CS131" i="1"/>
  <c r="AH54" i="1"/>
  <c r="CP127" i="1"/>
  <c r="O127" i="1" s="1"/>
  <c r="AC136" i="1"/>
  <c r="CR52" i="1"/>
  <c r="Q52" i="1" s="1"/>
  <c r="CP52" i="1" s="1"/>
  <c r="O52" i="1" s="1"/>
  <c r="GM52" i="1" s="1"/>
  <c r="GP52" i="1" s="1"/>
  <c r="CS52" i="1"/>
  <c r="R52" i="1" s="1"/>
  <c r="GK52" i="1" s="1"/>
  <c r="AD52" i="1"/>
  <c r="AB52" i="1" s="1"/>
  <c r="CS132" i="1"/>
  <c r="R132" i="1" s="1"/>
  <c r="GK132" i="1" s="1"/>
  <c r="CR132" i="1"/>
  <c r="Q132" i="1" s="1"/>
  <c r="T173" i="1"/>
  <c r="AS124" i="1"/>
  <c r="F153" i="1"/>
  <c r="AD132" i="1"/>
  <c r="AB132" i="1" s="1"/>
  <c r="V126" i="1"/>
  <c r="CY90" i="1"/>
  <c r="X90" i="1" s="1"/>
  <c r="CZ90" i="1"/>
  <c r="Y90" i="1" s="1"/>
  <c r="BZ124" i="1"/>
  <c r="AQ136" i="1"/>
  <c r="CL86" i="1"/>
  <c r="BC92" i="1"/>
  <c r="CY37" i="1"/>
  <c r="X37" i="1" s="1"/>
  <c r="CZ37" i="1"/>
  <c r="Y37" i="1" s="1"/>
  <c r="W177" i="1"/>
  <c r="AZ136" i="1"/>
  <c r="CI124" i="1"/>
  <c r="BY124" i="1"/>
  <c r="AP136" i="1"/>
  <c r="CQ128" i="1"/>
  <c r="P128" i="1" s="1"/>
  <c r="AB128" i="1"/>
  <c r="AJ136" i="1"/>
  <c r="S126" i="1"/>
  <c r="CQ90" i="1"/>
  <c r="P90" i="1" s="1"/>
  <c r="CR191" i="1"/>
  <c r="Q191" i="1" s="1"/>
  <c r="CP191" i="1" s="1"/>
  <c r="O191" i="1" s="1"/>
  <c r="CS191" i="1"/>
  <c r="R191" i="1" s="1"/>
  <c r="GK191" i="1" s="1"/>
  <c r="U177" i="1"/>
  <c r="CS171" i="1"/>
  <c r="CR171" i="1"/>
  <c r="Q171" i="1" s="1"/>
  <c r="CP171" i="1" s="1"/>
  <c r="O171" i="1" s="1"/>
  <c r="CG136" i="1"/>
  <c r="CZ127" i="1"/>
  <c r="Y127" i="1" s="1"/>
  <c r="CZ88" i="1"/>
  <c r="Y88" i="1" s="1"/>
  <c r="CY88" i="1"/>
  <c r="X88" i="1" s="1"/>
  <c r="CP37" i="1"/>
  <c r="O37" i="1" s="1"/>
  <c r="AB281" i="1"/>
  <c r="AD270" i="1"/>
  <c r="AB270" i="1" s="1"/>
  <c r="W192" i="1"/>
  <c r="AD191" i="1"/>
  <c r="AB191" i="1" s="1"/>
  <c r="AB187" i="1"/>
  <c r="R183" i="1"/>
  <c r="T177" i="1"/>
  <c r="W175" i="1"/>
  <c r="U173" i="1"/>
  <c r="AD171" i="1"/>
  <c r="AB171" i="1" s="1"/>
  <c r="V175" i="1"/>
  <c r="GX173" i="1"/>
  <c r="CJ86" i="1"/>
  <c r="BA92" i="1"/>
  <c r="AB51" i="1"/>
  <c r="V184" i="1"/>
  <c r="GX183" i="1"/>
  <c r="V180" i="1"/>
  <c r="U175" i="1"/>
  <c r="U136" i="1"/>
  <c r="AC92" i="1"/>
  <c r="CP88" i="1"/>
  <c r="O88" i="1" s="1"/>
  <c r="U184" i="1"/>
  <c r="U180" i="1"/>
  <c r="T175" i="1"/>
  <c r="CR173" i="1"/>
  <c r="Q173" i="1" s="1"/>
  <c r="CS173" i="1"/>
  <c r="R173" i="1" s="1"/>
  <c r="GK173" i="1" s="1"/>
  <c r="CY172" i="1"/>
  <c r="X172" i="1" s="1"/>
  <c r="CY133" i="1"/>
  <c r="X133" i="1" s="1"/>
  <c r="CZ133" i="1"/>
  <c r="Y133" i="1" s="1"/>
  <c r="AB130" i="1"/>
  <c r="CQ130" i="1"/>
  <c r="P130" i="1" s="1"/>
  <c r="CY46" i="1"/>
  <c r="X46" i="1" s="1"/>
  <c r="CZ46" i="1"/>
  <c r="Y46" i="1" s="1"/>
  <c r="T180" i="1"/>
  <c r="GX177" i="1"/>
  <c r="S175" i="1"/>
  <c r="AD173" i="1"/>
  <c r="AB173" i="1" s="1"/>
  <c r="AD133" i="1"/>
  <c r="AB133" i="1" s="1"/>
  <c r="CR133" i="1"/>
  <c r="Q133" i="1" s="1"/>
  <c r="CS133" i="1"/>
  <c r="R133" i="1" s="1"/>
  <c r="GK133" i="1" s="1"/>
  <c r="CJ136" i="1"/>
  <c r="CB86" i="1"/>
  <c r="AS92" i="1"/>
  <c r="W51" i="1"/>
  <c r="S180" i="1"/>
  <c r="S177" i="1"/>
  <c r="GX175" i="1"/>
  <c r="CR175" i="1"/>
  <c r="Q175" i="1" s="1"/>
  <c r="CP175" i="1" s="1"/>
  <c r="O175" i="1" s="1"/>
  <c r="CS175" i="1"/>
  <c r="CQ173" i="1"/>
  <c r="P173" i="1" s="1"/>
  <c r="F154" i="1"/>
  <c r="CY134" i="1"/>
  <c r="X134" i="1" s="1"/>
  <c r="CZ134" i="1"/>
  <c r="Y134" i="1" s="1"/>
  <c r="CQ133" i="1"/>
  <c r="P133" i="1" s="1"/>
  <c r="CP133" i="1" s="1"/>
  <c r="O133" i="1" s="1"/>
  <c r="Q130" i="1"/>
  <c r="R130" i="1"/>
  <c r="GK130" i="1" s="1"/>
  <c r="S130" i="1"/>
  <c r="AQ92" i="1"/>
  <c r="BZ86" i="1"/>
  <c r="CG92" i="1"/>
  <c r="Q183" i="1"/>
  <c r="CR180" i="1"/>
  <c r="Q180" i="1" s="1"/>
  <c r="CP180" i="1" s="1"/>
  <c r="O180" i="1" s="1"/>
  <c r="CS180" i="1"/>
  <c r="CR177" i="1"/>
  <c r="Q177" i="1" s="1"/>
  <c r="CS177" i="1"/>
  <c r="AD175" i="1"/>
  <c r="AB175" i="1" s="1"/>
  <c r="CS129" i="1"/>
  <c r="CR129" i="1"/>
  <c r="Q129" i="1" s="1"/>
  <c r="BC124" i="1"/>
  <c r="U51" i="1"/>
  <c r="CR32" i="1"/>
  <c r="Q32" i="1" s="1"/>
  <c r="CP32" i="1" s="1"/>
  <c r="O32" i="1" s="1"/>
  <c r="CS32" i="1"/>
  <c r="R32" i="1" s="1"/>
  <c r="GK32" i="1" s="1"/>
  <c r="AD32" i="1"/>
  <c r="AB32" i="1" s="1"/>
  <c r="CY47" i="1"/>
  <c r="X47" i="1" s="1"/>
  <c r="CZ47" i="1"/>
  <c r="Y47" i="1" s="1"/>
  <c r="CR37" i="1"/>
  <c r="Q37" i="1" s="1"/>
  <c r="CS37" i="1"/>
  <c r="R37" i="1" s="1"/>
  <c r="GK37" i="1" s="1"/>
  <c r="AD37" i="1"/>
  <c r="AB37" i="1" s="1"/>
  <c r="CK86" i="1"/>
  <c r="BB92" i="1"/>
  <c r="CR90" i="1"/>
  <c r="Q90" i="1" s="1"/>
  <c r="CS90" i="1"/>
  <c r="R90" i="1" s="1"/>
  <c r="GK90" i="1" s="1"/>
  <c r="V89" i="1"/>
  <c r="AI92" i="1" s="1"/>
  <c r="AP86" i="1"/>
  <c r="CP50" i="1"/>
  <c r="O50" i="1" s="1"/>
  <c r="T126" i="1"/>
  <c r="AD90" i="1"/>
  <c r="AB90" i="1" s="1"/>
  <c r="S89" i="1"/>
  <c r="AO86" i="1"/>
  <c r="V51" i="1"/>
  <c r="CR43" i="1"/>
  <c r="Q43" i="1" s="1"/>
  <c r="CS43" i="1"/>
  <c r="AB129" i="1"/>
  <c r="W89" i="1"/>
  <c r="AJ92" i="1" s="1"/>
  <c r="AO54" i="1"/>
  <c r="BX30" i="1"/>
  <c r="CY42" i="1"/>
  <c r="X42" i="1" s="1"/>
  <c r="CZ42" i="1"/>
  <c r="Y42" i="1" s="1"/>
  <c r="V171" i="1"/>
  <c r="BD30" i="1"/>
  <c r="F79" i="1"/>
  <c r="CR47" i="1"/>
  <c r="Q47" i="1" s="1"/>
  <c r="CP47" i="1" s="1"/>
  <c r="O47" i="1" s="1"/>
  <c r="CS47" i="1"/>
  <c r="R47" i="1" s="1"/>
  <c r="GK47" i="1" s="1"/>
  <c r="AD47" i="1"/>
  <c r="AB43" i="1"/>
  <c r="CY38" i="1"/>
  <c r="X38" i="1" s="1"/>
  <c r="CZ38" i="1"/>
  <c r="Y38" i="1" s="1"/>
  <c r="CY34" i="1"/>
  <c r="X34" i="1" s="1"/>
  <c r="CZ34" i="1"/>
  <c r="Y34" i="1" s="1"/>
  <c r="W128" i="1"/>
  <c r="U126" i="1"/>
  <c r="U89" i="1"/>
  <c r="CY45" i="1"/>
  <c r="X45" i="1" s="1"/>
  <c r="CZ45" i="1"/>
  <c r="Y45" i="1" s="1"/>
  <c r="CQ39" i="1"/>
  <c r="P39" i="1" s="1"/>
  <c r="AB39" i="1"/>
  <c r="V128" i="1"/>
  <c r="T89" i="1"/>
  <c r="AG92" i="1" s="1"/>
  <c r="CP42" i="1"/>
  <c r="O42" i="1" s="1"/>
  <c r="CP38" i="1"/>
  <c r="O38" i="1" s="1"/>
  <c r="CR36" i="1"/>
  <c r="Q36" i="1" s="1"/>
  <c r="CS36" i="1"/>
  <c r="V132" i="1"/>
  <c r="U128" i="1"/>
  <c r="GX126" i="1"/>
  <c r="CY44" i="1"/>
  <c r="X44" i="1" s="1"/>
  <c r="CZ44" i="1"/>
  <c r="Y44" i="1" s="1"/>
  <c r="AD36" i="1"/>
  <c r="AB36" i="1" s="1"/>
  <c r="U132" i="1"/>
  <c r="T128" i="1"/>
  <c r="AD126" i="1"/>
  <c r="AB126" i="1" s="1"/>
  <c r="CR126" i="1"/>
  <c r="Q126" i="1" s="1"/>
  <c r="CP126" i="1" s="1"/>
  <c r="O126" i="1" s="1"/>
  <c r="CS126" i="1"/>
  <c r="R126" i="1" s="1"/>
  <c r="GK126" i="1" s="1"/>
  <c r="Q89" i="1"/>
  <c r="CY49" i="1"/>
  <c r="X49" i="1" s="1"/>
  <c r="CZ49" i="1"/>
  <c r="Y49" i="1" s="1"/>
  <c r="CR44" i="1"/>
  <c r="Q44" i="1" s="1"/>
  <c r="CS44" i="1"/>
  <c r="BB201" i="1"/>
  <c r="AD178" i="1"/>
  <c r="AB178" i="1" s="1"/>
  <c r="AB172" i="1"/>
  <c r="GX171" i="1"/>
  <c r="T132" i="1"/>
  <c r="S128" i="1"/>
  <c r="AD89" i="1"/>
  <c r="AB89" i="1" s="1"/>
  <c r="V48" i="1"/>
  <c r="AD44" i="1"/>
  <c r="AB44" i="1" s="1"/>
  <c r="AD174" i="1"/>
  <c r="AB174" i="1" s="1"/>
  <c r="S132" i="1"/>
  <c r="CP132" i="1" s="1"/>
  <c r="O132" i="1" s="1"/>
  <c r="CS128" i="1"/>
  <c r="R128" i="1" s="1"/>
  <c r="GK128" i="1" s="1"/>
  <c r="CR128" i="1"/>
  <c r="Q128" i="1" s="1"/>
  <c r="CQ44" i="1"/>
  <c r="P44" i="1" s="1"/>
  <c r="CP44" i="1" s="1"/>
  <c r="O44" i="1" s="1"/>
  <c r="CR40" i="1"/>
  <c r="Q40" i="1" s="1"/>
  <c r="CS40" i="1"/>
  <c r="AD40" i="1"/>
  <c r="BZ54" i="1"/>
  <c r="CI54" i="1" s="1"/>
  <c r="T51" i="1"/>
  <c r="U48" i="1"/>
  <c r="V41" i="1"/>
  <c r="V33" i="1"/>
  <c r="CL124" i="1"/>
  <c r="S51" i="1"/>
  <c r="T48" i="1"/>
  <c r="T43" i="1"/>
  <c r="U41" i="1"/>
  <c r="V36" i="1"/>
  <c r="CP34" i="1"/>
  <c r="O34" i="1" s="1"/>
  <c r="U33" i="1"/>
  <c r="W90" i="1"/>
  <c r="S48" i="1"/>
  <c r="AB47" i="1"/>
  <c r="S43" i="1"/>
  <c r="AB40" i="1"/>
  <c r="U36" i="1"/>
  <c r="CR48" i="1"/>
  <c r="Q48" i="1" s="1"/>
  <c r="CS48" i="1"/>
  <c r="R48" i="1" s="1"/>
  <c r="GK48" i="1" s="1"/>
  <c r="BD92" i="1"/>
  <c r="GX48" i="1"/>
  <c r="AD48" i="1"/>
  <c r="AB48" i="1" s="1"/>
  <c r="CR41" i="1"/>
  <c r="Q41" i="1" s="1"/>
  <c r="CS41" i="1"/>
  <c r="AD41" i="1"/>
  <c r="AB41" i="1" s="1"/>
  <c r="GX33" i="1"/>
  <c r="CR33" i="1"/>
  <c r="Q33" i="1" s="1"/>
  <c r="CP33" i="1" s="1"/>
  <c r="O33" i="1" s="1"/>
  <c r="GM33" i="1" s="1"/>
  <c r="GP33" i="1" s="1"/>
  <c r="CS33" i="1"/>
  <c r="R33" i="1" s="1"/>
  <c r="GK33" i="1" s="1"/>
  <c r="AD33" i="1"/>
  <c r="AB33" i="1" s="1"/>
  <c r="GX51" i="1"/>
  <c r="CQ48" i="1"/>
  <c r="P48" i="1" s="1"/>
  <c r="CZ40" i="1"/>
  <c r="Y40" i="1" s="1"/>
  <c r="CZ32" i="1"/>
  <c r="Y32" i="1" s="1"/>
  <c r="V47" i="1"/>
  <c r="GX43" i="1"/>
  <c r="T36" i="1"/>
  <c r="AG54" i="1" s="1"/>
  <c r="CC54" i="1"/>
  <c r="CR51" i="1"/>
  <c r="Q51" i="1" s="1"/>
  <c r="CS51" i="1"/>
  <c r="R51" i="1" s="1"/>
  <c r="GK51" i="1" s="1"/>
  <c r="S36" i="1"/>
  <c r="CB54" i="1"/>
  <c r="AB49" i="1"/>
  <c r="AB45" i="1"/>
  <c r="K630" i="7" l="1"/>
  <c r="L636" i="8"/>
  <c r="R756" i="8"/>
  <c r="K759" i="8" s="1"/>
  <c r="R750" i="7"/>
  <c r="J753" i="7" s="1"/>
  <c r="BC267" i="1"/>
  <c r="F308" i="1"/>
  <c r="R522" i="1"/>
  <c r="V686" i="7"/>
  <c r="J693" i="7" s="1"/>
  <c r="V692" i="8"/>
  <c r="K699" i="8" s="1"/>
  <c r="AJ324" i="1"/>
  <c r="W330" i="1"/>
  <c r="J301" i="7"/>
  <c r="K307" i="8"/>
  <c r="CZ198" i="1"/>
  <c r="Y198" i="1" s="1"/>
  <c r="CJ54" i="1"/>
  <c r="J210" i="7"/>
  <c r="K216" i="8"/>
  <c r="GM193" i="1"/>
  <c r="GP193" i="1" s="1"/>
  <c r="T505" i="7"/>
  <c r="J510" i="7" s="1"/>
  <c r="T511" i="8"/>
  <c r="K516" i="8" s="1"/>
  <c r="R873" i="7"/>
  <c r="J877" i="7" s="1"/>
  <c r="R879" i="8"/>
  <c r="K883" i="8" s="1"/>
  <c r="AI362" i="1"/>
  <c r="V374" i="1"/>
  <c r="V37" i="7"/>
  <c r="V43" i="8"/>
  <c r="R34" i="1"/>
  <c r="GK34" i="1" s="1"/>
  <c r="J283" i="7"/>
  <c r="K289" i="8"/>
  <c r="J419" i="7"/>
  <c r="K425" i="8"/>
  <c r="T409" i="7"/>
  <c r="J413" i="7" s="1"/>
  <c r="T415" i="8"/>
  <c r="K419" i="8" s="1"/>
  <c r="R422" i="1"/>
  <c r="GK422" i="1" s="1"/>
  <c r="V547" i="7"/>
  <c r="V553" i="8"/>
  <c r="J165" i="7"/>
  <c r="K171" i="8"/>
  <c r="CZ129" i="1"/>
  <c r="Y129" i="1" s="1"/>
  <c r="CY129" i="1"/>
  <c r="X129" i="1" s="1"/>
  <c r="AF136" i="1"/>
  <c r="K390" i="7"/>
  <c r="L396" i="8"/>
  <c r="AG124" i="1"/>
  <c r="T136" i="1"/>
  <c r="CP192" i="1"/>
  <c r="O192" i="1" s="1"/>
  <c r="J284" i="7"/>
  <c r="K290" i="8"/>
  <c r="T703" i="7"/>
  <c r="J709" i="7" s="1"/>
  <c r="T709" i="8"/>
  <c r="K715" i="8" s="1"/>
  <c r="AO324" i="1"/>
  <c r="F334" i="1"/>
  <c r="J820" i="7"/>
  <c r="K826" i="8"/>
  <c r="CY659" i="1"/>
  <c r="X659" i="1" s="1"/>
  <c r="CZ659" i="1"/>
  <c r="Y659" i="1" s="1"/>
  <c r="R192" i="7"/>
  <c r="J196" i="7" s="1"/>
  <c r="R198" i="8"/>
  <c r="K202" i="8" s="1"/>
  <c r="AK572" i="1"/>
  <c r="R742" i="8"/>
  <c r="K747" i="8" s="1"/>
  <c r="R736" i="7"/>
  <c r="J741" i="7" s="1"/>
  <c r="AT86" i="1"/>
  <c r="F110" i="1"/>
  <c r="AK330" i="1"/>
  <c r="AK324" i="1" s="1"/>
  <c r="R432" i="7"/>
  <c r="J437" i="7" s="1"/>
  <c r="R438" i="8"/>
  <c r="K443" i="8" s="1"/>
  <c r="K248" i="7"/>
  <c r="L254" i="8"/>
  <c r="CP39" i="1"/>
  <c r="O39" i="1" s="1"/>
  <c r="J70" i="7"/>
  <c r="K76" i="8"/>
  <c r="AC54" i="1"/>
  <c r="T557" i="7"/>
  <c r="J564" i="7" s="1"/>
  <c r="T563" i="8"/>
  <c r="K570" i="8" s="1"/>
  <c r="T660" i="7"/>
  <c r="J665" i="7" s="1"/>
  <c r="T666" i="8"/>
  <c r="K671" i="8" s="1"/>
  <c r="R39" i="1"/>
  <c r="V65" i="7"/>
  <c r="J73" i="7" s="1"/>
  <c r="V71" i="8"/>
  <c r="K79" i="8" s="1"/>
  <c r="J376" i="7"/>
  <c r="K382" i="8"/>
  <c r="CP278" i="1"/>
  <c r="O278" i="1" s="1"/>
  <c r="GM278" i="1" s="1"/>
  <c r="GP278" i="1" s="1"/>
  <c r="CY278" i="1"/>
  <c r="X278" i="1" s="1"/>
  <c r="R277" i="1"/>
  <c r="V364" i="7"/>
  <c r="J371" i="7" s="1"/>
  <c r="V370" i="8"/>
  <c r="K377" i="8" s="1"/>
  <c r="AG443" i="1"/>
  <c r="AG406" i="1" s="1"/>
  <c r="R43" i="1"/>
  <c r="GK43" i="1" s="1"/>
  <c r="V98" i="7"/>
  <c r="V104" i="8"/>
  <c r="T374" i="7"/>
  <c r="J379" i="7" s="1"/>
  <c r="T380" i="8"/>
  <c r="K385" i="8" s="1"/>
  <c r="T464" i="7"/>
  <c r="J471" i="7" s="1"/>
  <c r="T470" i="8"/>
  <c r="K477" i="8" s="1"/>
  <c r="T713" i="7"/>
  <c r="J717" i="7" s="1"/>
  <c r="T719" i="8"/>
  <c r="K723" i="8" s="1"/>
  <c r="R655" i="1"/>
  <c r="GK655" i="1" s="1"/>
  <c r="V802" i="7"/>
  <c r="V808" i="8"/>
  <c r="CJ362" i="1"/>
  <c r="BA374" i="1"/>
  <c r="GM184" i="1"/>
  <c r="GP184" i="1" s="1"/>
  <c r="AJ362" i="1"/>
  <c r="W374" i="1"/>
  <c r="AG566" i="1"/>
  <c r="T572" i="1"/>
  <c r="K583" i="8"/>
  <c r="J577" i="7"/>
  <c r="J108" i="7"/>
  <c r="K114" i="8"/>
  <c r="T273" i="7"/>
  <c r="J278" i="7" s="1"/>
  <c r="T279" i="8"/>
  <c r="K284" i="8" s="1"/>
  <c r="R426" i="1"/>
  <c r="GK426" i="1" s="1"/>
  <c r="V568" i="7"/>
  <c r="V574" i="8"/>
  <c r="AD616" i="1"/>
  <c r="AD604" i="1" s="1"/>
  <c r="K777" i="8"/>
  <c r="J771" i="7"/>
  <c r="T808" i="8"/>
  <c r="K813" i="8" s="1"/>
  <c r="T802" i="7"/>
  <c r="J807" i="7" s="1"/>
  <c r="T862" i="7"/>
  <c r="J869" i="7" s="1"/>
  <c r="T868" i="8"/>
  <c r="K875" i="8" s="1"/>
  <c r="AH374" i="1"/>
  <c r="K462" i="7"/>
  <c r="L468" i="8"/>
  <c r="GM371" i="1"/>
  <c r="GP371" i="1" s="1"/>
  <c r="J698" i="7"/>
  <c r="K704" i="8"/>
  <c r="K214" i="7"/>
  <c r="L220" i="8"/>
  <c r="R115" i="7"/>
  <c r="J118" i="7" s="1"/>
  <c r="R121" i="8"/>
  <c r="K124" i="8" s="1"/>
  <c r="GM185" i="1"/>
  <c r="GP185" i="1" s="1"/>
  <c r="R263" i="7"/>
  <c r="J267" i="7" s="1"/>
  <c r="R269" i="8"/>
  <c r="K273" i="8" s="1"/>
  <c r="J100" i="7"/>
  <c r="K106" i="8"/>
  <c r="GM654" i="1"/>
  <c r="GP654" i="1" s="1"/>
  <c r="K230" i="7"/>
  <c r="L236" i="8"/>
  <c r="CY50" i="1"/>
  <c r="X50" i="1" s="1"/>
  <c r="CZ50" i="1"/>
  <c r="Y50" i="1" s="1"/>
  <c r="CP198" i="1"/>
  <c r="O198" i="1" s="1"/>
  <c r="GM364" i="1"/>
  <c r="GP364" i="1" s="1"/>
  <c r="R130" i="7"/>
  <c r="J133" i="7" s="1"/>
  <c r="R136" i="8"/>
  <c r="K139" i="8" s="1"/>
  <c r="CY198" i="1"/>
  <c r="X198" i="1" s="1"/>
  <c r="J645" i="7"/>
  <c r="K651" i="8"/>
  <c r="J559" i="7"/>
  <c r="K565" i="8"/>
  <c r="CY424" i="1"/>
  <c r="X424" i="1" s="1"/>
  <c r="J469" i="7"/>
  <c r="K475" i="8"/>
  <c r="CP369" i="1"/>
  <c r="O369" i="1" s="1"/>
  <c r="AB374" i="1" s="1"/>
  <c r="AC374" i="1"/>
  <c r="CP659" i="1"/>
  <c r="O659" i="1" s="1"/>
  <c r="K827" i="8"/>
  <c r="J821" i="7"/>
  <c r="K792" i="7"/>
  <c r="L798" i="8"/>
  <c r="T317" i="7"/>
  <c r="J324" i="7" s="1"/>
  <c r="T323" i="8"/>
  <c r="K330" i="8" s="1"/>
  <c r="J578" i="7"/>
  <c r="K584" i="8"/>
  <c r="GM426" i="1"/>
  <c r="GP426" i="1" s="1"/>
  <c r="CP422" i="1"/>
  <c r="O422" i="1" s="1"/>
  <c r="CP431" i="1"/>
  <c r="O431" i="1" s="1"/>
  <c r="R527" i="1"/>
  <c r="GK527" i="1" s="1"/>
  <c r="V696" i="7"/>
  <c r="V702" i="8"/>
  <c r="T632" i="7"/>
  <c r="J639" i="7" s="1"/>
  <c r="I642" i="7" s="1"/>
  <c r="T638" i="8"/>
  <c r="K645" i="8" s="1"/>
  <c r="T603" i="7"/>
  <c r="J608" i="7" s="1"/>
  <c r="T609" i="8"/>
  <c r="K614" i="8" s="1"/>
  <c r="CP523" i="1"/>
  <c r="O523" i="1" s="1"/>
  <c r="T800" i="8"/>
  <c r="K805" i="8" s="1"/>
  <c r="T794" i="7"/>
  <c r="J799" i="7" s="1"/>
  <c r="R713" i="7"/>
  <c r="J716" i="7" s="1"/>
  <c r="R719" i="8"/>
  <c r="K722" i="8" s="1"/>
  <c r="K818" i="8"/>
  <c r="J812" i="7"/>
  <c r="R660" i="7"/>
  <c r="J664" i="7" s="1"/>
  <c r="R666" i="8"/>
  <c r="K670" i="8" s="1"/>
  <c r="R802" i="7"/>
  <c r="J806" i="7" s="1"/>
  <c r="R808" i="8"/>
  <c r="K812" i="8" s="1"/>
  <c r="R862" i="7"/>
  <c r="J868" i="7" s="1"/>
  <c r="R868" i="8"/>
  <c r="K874" i="8" s="1"/>
  <c r="GM676" i="1"/>
  <c r="GP676" i="1" s="1"/>
  <c r="R703" i="7"/>
  <c r="J708" i="7" s="1"/>
  <c r="R709" i="8"/>
  <c r="K714" i="8" s="1"/>
  <c r="J875" i="7"/>
  <c r="K881" i="8"/>
  <c r="J723" i="7"/>
  <c r="K729" i="8"/>
  <c r="J542" i="7"/>
  <c r="K548" i="8"/>
  <c r="J552" i="8" s="1"/>
  <c r="J158" i="7"/>
  <c r="K164" i="8"/>
  <c r="CY127" i="1"/>
  <c r="X127" i="1" s="1"/>
  <c r="CY415" i="1"/>
  <c r="X415" i="1" s="1"/>
  <c r="J507" i="7"/>
  <c r="K513" i="8"/>
  <c r="CZ682" i="1"/>
  <c r="Y682" i="1" s="1"/>
  <c r="K917" i="8"/>
  <c r="J911" i="7"/>
  <c r="J492" i="7"/>
  <c r="K498" i="8"/>
  <c r="J626" i="7"/>
  <c r="K632" i="8"/>
  <c r="R659" i="1"/>
  <c r="GK659" i="1" s="1"/>
  <c r="V818" i="7"/>
  <c r="V824" i="8"/>
  <c r="GK275" i="1"/>
  <c r="GM275" i="1" s="1"/>
  <c r="GP275" i="1" s="1"/>
  <c r="J350" i="7"/>
  <c r="K356" i="8"/>
  <c r="J549" i="7"/>
  <c r="K555" i="8"/>
  <c r="K63" i="7"/>
  <c r="L69" i="8"/>
  <c r="T105" i="7"/>
  <c r="J111" i="7" s="1"/>
  <c r="T111" i="8"/>
  <c r="K117" i="8" s="1"/>
  <c r="CP183" i="1"/>
  <c r="O183" i="1" s="1"/>
  <c r="J255" i="7"/>
  <c r="K261" i="8"/>
  <c r="GM134" i="1"/>
  <c r="GP134" i="1" s="1"/>
  <c r="T263" i="7"/>
  <c r="J268" i="7" s="1"/>
  <c r="T269" i="8"/>
  <c r="K274" i="8" s="1"/>
  <c r="T399" i="7"/>
  <c r="J405" i="7" s="1"/>
  <c r="T405" i="8"/>
  <c r="K411" i="8" s="1"/>
  <c r="CP270" i="1"/>
  <c r="O270" i="1" s="1"/>
  <c r="GM270" i="1" s="1"/>
  <c r="GP270" i="1" s="1"/>
  <c r="R280" i="1"/>
  <c r="V382" i="7"/>
  <c r="J389" i="7" s="1"/>
  <c r="V388" i="8"/>
  <c r="K395" i="8" s="1"/>
  <c r="R409" i="7"/>
  <c r="J412" i="7" s="1"/>
  <c r="I415" i="7" s="1"/>
  <c r="R415" i="8"/>
  <c r="K418" i="8" s="1"/>
  <c r="J421" i="8" s="1"/>
  <c r="R482" i="7"/>
  <c r="J485" i="7" s="1"/>
  <c r="R488" i="8"/>
  <c r="K491" i="8" s="1"/>
  <c r="R417" i="1"/>
  <c r="GK417" i="1" s="1"/>
  <c r="V513" i="7"/>
  <c r="V519" i="8"/>
  <c r="J57" i="7"/>
  <c r="K63" i="8"/>
  <c r="R44" i="1"/>
  <c r="V105" i="7"/>
  <c r="J112" i="7" s="1"/>
  <c r="V111" i="8"/>
  <c r="K118" i="8" s="1"/>
  <c r="R105" i="7"/>
  <c r="J110" i="7" s="1"/>
  <c r="R111" i="8"/>
  <c r="K116" i="8" s="1"/>
  <c r="CG54" i="1"/>
  <c r="GM32" i="1"/>
  <c r="GP32" i="1" s="1"/>
  <c r="AJ201" i="1"/>
  <c r="CP128" i="1"/>
  <c r="O128" i="1" s="1"/>
  <c r="K337" i="7"/>
  <c r="L343" i="8"/>
  <c r="R192" i="1"/>
  <c r="GK192" i="1" s="1"/>
  <c r="V281" i="7"/>
  <c r="V287" i="8"/>
  <c r="CP195" i="1"/>
  <c r="O195" i="1" s="1"/>
  <c r="CP187" i="1"/>
  <c r="O187" i="1" s="1"/>
  <c r="GM187" i="1" s="1"/>
  <c r="GP187" i="1" s="1"/>
  <c r="R399" i="7"/>
  <c r="J404" i="7" s="1"/>
  <c r="R405" i="8"/>
  <c r="K410" i="8" s="1"/>
  <c r="R317" i="7"/>
  <c r="J323" i="7" s="1"/>
  <c r="R323" i="8"/>
  <c r="K329" i="8" s="1"/>
  <c r="R392" i="7"/>
  <c r="J395" i="7" s="1"/>
  <c r="R398" i="8"/>
  <c r="K401" i="8" s="1"/>
  <c r="AJ292" i="1"/>
  <c r="CP280" i="1"/>
  <c r="O280" i="1" s="1"/>
  <c r="J385" i="7"/>
  <c r="K391" i="8"/>
  <c r="R433" i="1"/>
  <c r="GK433" i="1" s="1"/>
  <c r="V585" i="7"/>
  <c r="V591" i="8"/>
  <c r="CP527" i="1"/>
  <c r="O527" i="1" s="1"/>
  <c r="AD534" i="1"/>
  <c r="R632" i="7"/>
  <c r="J638" i="7" s="1"/>
  <c r="R638" i="8"/>
  <c r="K644" i="8" s="1"/>
  <c r="T668" i="7"/>
  <c r="J674" i="7" s="1"/>
  <c r="T674" i="8"/>
  <c r="K680" i="8" s="1"/>
  <c r="R515" i="1"/>
  <c r="GK515" i="1" s="1"/>
  <c r="V643" i="7"/>
  <c r="V649" i="8"/>
  <c r="R603" i="7"/>
  <c r="J607" i="7" s="1"/>
  <c r="R609" i="8"/>
  <c r="K613" i="8" s="1"/>
  <c r="T650" i="7"/>
  <c r="J656" i="7" s="1"/>
  <c r="T656" i="8"/>
  <c r="K662" i="8" s="1"/>
  <c r="R651" i="1"/>
  <c r="V792" i="8"/>
  <c r="V786" i="7"/>
  <c r="GM652" i="1"/>
  <c r="GP652" i="1" s="1"/>
  <c r="R915" i="8"/>
  <c r="K919" i="8" s="1"/>
  <c r="R909" i="7"/>
  <c r="J913" i="7" s="1"/>
  <c r="BA616" i="1"/>
  <c r="J293" i="7"/>
  <c r="K299" i="8"/>
  <c r="R420" i="1"/>
  <c r="GK420" i="1" s="1"/>
  <c r="GM420" i="1" s="1"/>
  <c r="GP420" i="1" s="1"/>
  <c r="V531" i="7"/>
  <c r="V537" i="8"/>
  <c r="R369" i="1"/>
  <c r="V464" i="7"/>
  <c r="J472" i="7" s="1"/>
  <c r="V470" i="8"/>
  <c r="K478" i="8" s="1"/>
  <c r="J466" i="7"/>
  <c r="K472" i="8"/>
  <c r="F140" i="1"/>
  <c r="AO124" i="1"/>
  <c r="CZ664" i="1"/>
  <c r="Y664" i="1" s="1"/>
  <c r="J854" i="7"/>
  <c r="K860" i="8"/>
  <c r="CY664" i="1"/>
  <c r="X664" i="1" s="1"/>
  <c r="CY40" i="1"/>
  <c r="X40" i="1" s="1"/>
  <c r="J78" i="7"/>
  <c r="K84" i="8"/>
  <c r="V432" i="7"/>
  <c r="V438" i="8"/>
  <c r="R327" i="1"/>
  <c r="V521" i="7"/>
  <c r="V527" i="8"/>
  <c r="R418" i="1"/>
  <c r="GK418" i="1" s="1"/>
  <c r="GM418" i="1" s="1"/>
  <c r="GP418" i="1" s="1"/>
  <c r="K743" i="7"/>
  <c r="L749" i="8"/>
  <c r="AH572" i="1"/>
  <c r="R178" i="1"/>
  <c r="GK178" i="1" s="1"/>
  <c r="V224" i="7"/>
  <c r="V230" i="8"/>
  <c r="J681" i="7"/>
  <c r="K687" i="8"/>
  <c r="CZ35" i="1"/>
  <c r="Y35" i="1" s="1"/>
  <c r="J46" i="7"/>
  <c r="K52" i="8"/>
  <c r="CY35" i="1"/>
  <c r="X35" i="1" s="1"/>
  <c r="R278" i="1"/>
  <c r="GK278" i="1" s="1"/>
  <c r="V374" i="7"/>
  <c r="V380" i="8"/>
  <c r="R174" i="1"/>
  <c r="GK174" i="1" s="1"/>
  <c r="V200" i="7"/>
  <c r="V206" i="8"/>
  <c r="J227" i="7"/>
  <c r="K233" i="8"/>
  <c r="J680" i="7"/>
  <c r="K686" i="8"/>
  <c r="J550" i="7"/>
  <c r="K556" i="8"/>
  <c r="J663" i="7"/>
  <c r="K669" i="8"/>
  <c r="AS604" i="1"/>
  <c r="F633" i="1"/>
  <c r="K354" i="7"/>
  <c r="L360" i="8"/>
  <c r="CZ409" i="1"/>
  <c r="Y409" i="1" s="1"/>
  <c r="J483" i="7"/>
  <c r="K489" i="8"/>
  <c r="K870" i="8"/>
  <c r="J864" i="7"/>
  <c r="I872" i="7" s="1"/>
  <c r="K918" i="8"/>
  <c r="J912" i="7"/>
  <c r="CY609" i="1"/>
  <c r="X609" i="1" s="1"/>
  <c r="J759" i="7"/>
  <c r="K765" i="8"/>
  <c r="CZ609" i="1"/>
  <c r="Y609" i="1" s="1"/>
  <c r="L877" i="8"/>
  <c r="K871" i="7"/>
  <c r="J523" i="7"/>
  <c r="K529" i="8"/>
  <c r="CY418" i="1"/>
  <c r="X418" i="1" s="1"/>
  <c r="CZ418" i="1"/>
  <c r="Y418" i="1" s="1"/>
  <c r="L605" i="8"/>
  <c r="K599" i="7"/>
  <c r="T174" i="7"/>
  <c r="J181" i="7" s="1"/>
  <c r="T180" i="8"/>
  <c r="K187" i="8" s="1"/>
  <c r="J484" i="7"/>
  <c r="K490" i="8"/>
  <c r="J623" i="7"/>
  <c r="K629" i="8"/>
  <c r="K890" i="8"/>
  <c r="J884" i="7"/>
  <c r="J499" i="7"/>
  <c r="K505" i="8"/>
  <c r="R675" i="1"/>
  <c r="GK675" i="1" s="1"/>
  <c r="V891" i="7"/>
  <c r="V897" i="8"/>
  <c r="GK666" i="1"/>
  <c r="K872" i="8"/>
  <c r="J866" i="7"/>
  <c r="CP173" i="1"/>
  <c r="O173" i="1" s="1"/>
  <c r="GM173" i="1" s="1"/>
  <c r="GP173" i="1" s="1"/>
  <c r="GM172" i="1"/>
  <c r="GP172" i="1" s="1"/>
  <c r="AL136" i="1"/>
  <c r="T156" i="7"/>
  <c r="J160" i="7" s="1"/>
  <c r="T162" i="8"/>
  <c r="K166" i="8" s="1"/>
  <c r="J341" i="7"/>
  <c r="K347" i="8"/>
  <c r="J516" i="7"/>
  <c r="K522" i="8"/>
  <c r="K553" i="7"/>
  <c r="L559" i="8"/>
  <c r="T489" i="7"/>
  <c r="J494" i="7" s="1"/>
  <c r="T495" i="8"/>
  <c r="K500" i="8" s="1"/>
  <c r="R530" i="1"/>
  <c r="V720" i="7"/>
  <c r="J728" i="7" s="1"/>
  <c r="V726" i="8"/>
  <c r="K734" i="8" s="1"/>
  <c r="R668" i="7"/>
  <c r="J673" i="7" s="1"/>
  <c r="R674" i="8"/>
  <c r="K679" i="8" s="1"/>
  <c r="R650" i="7"/>
  <c r="J655" i="7" s="1"/>
  <c r="I659" i="7" s="1"/>
  <c r="R656" i="8"/>
  <c r="K661" i="8" s="1"/>
  <c r="J813" i="7"/>
  <c r="K819" i="8"/>
  <c r="R800" i="8"/>
  <c r="K804" i="8" s="1"/>
  <c r="R794" i="7"/>
  <c r="J798" i="7" s="1"/>
  <c r="I801" i="7" s="1"/>
  <c r="R657" i="1"/>
  <c r="GK657" i="1" s="1"/>
  <c r="V816" i="8"/>
  <c r="V810" i="7"/>
  <c r="CP608" i="1"/>
  <c r="O608" i="1" s="1"/>
  <c r="GM608" i="1" s="1"/>
  <c r="GP608" i="1" s="1"/>
  <c r="R660" i="1"/>
  <c r="GK660" i="1" s="1"/>
  <c r="V832" i="8"/>
  <c r="V826" i="7"/>
  <c r="K305" i="7"/>
  <c r="L311" i="8"/>
  <c r="K120" i="7"/>
  <c r="L126" i="8"/>
  <c r="CP51" i="1"/>
  <c r="O51" i="1" s="1"/>
  <c r="T130" i="7"/>
  <c r="J134" i="7" s="1"/>
  <c r="T136" i="8"/>
  <c r="K140" i="8" s="1"/>
  <c r="T115" i="7"/>
  <c r="J119" i="7" s="1"/>
  <c r="T121" i="8"/>
  <c r="K125" i="8" s="1"/>
  <c r="GM47" i="1"/>
  <c r="GP47" i="1" s="1"/>
  <c r="R175" i="1"/>
  <c r="GK175" i="1" s="1"/>
  <c r="V208" i="7"/>
  <c r="V214" i="8"/>
  <c r="GK183" i="1"/>
  <c r="J256" i="7"/>
  <c r="K262" i="8"/>
  <c r="J358" i="7"/>
  <c r="K364" i="8"/>
  <c r="R288" i="1"/>
  <c r="V416" i="7"/>
  <c r="J424" i="7" s="1"/>
  <c r="V422" i="8"/>
  <c r="K430" i="8" s="1"/>
  <c r="K287" i="7"/>
  <c r="L293" i="8"/>
  <c r="CJ292" i="1"/>
  <c r="CJ267" i="1" s="1"/>
  <c r="J587" i="7"/>
  <c r="K593" i="8"/>
  <c r="K537" i="7"/>
  <c r="L543" i="8"/>
  <c r="R428" i="1"/>
  <c r="GK428" i="1" s="1"/>
  <c r="V576" i="7"/>
  <c r="V582" i="8"/>
  <c r="R272" i="1"/>
  <c r="V328" i="7"/>
  <c r="J336" i="7" s="1"/>
  <c r="V334" i="8"/>
  <c r="K342" i="8" s="1"/>
  <c r="K574" i="7"/>
  <c r="L580" i="8"/>
  <c r="R489" i="7"/>
  <c r="J493" i="7" s="1"/>
  <c r="R495" i="8"/>
  <c r="K499" i="8" s="1"/>
  <c r="R464" i="7"/>
  <c r="J470" i="7" s="1"/>
  <c r="R470" i="8"/>
  <c r="K476" i="8" s="1"/>
  <c r="GM518" i="1"/>
  <c r="GP518" i="1" s="1"/>
  <c r="J688" i="7"/>
  <c r="K694" i="8"/>
  <c r="T720" i="7"/>
  <c r="J727" i="7" s="1"/>
  <c r="T726" i="8"/>
  <c r="K733" i="8" s="1"/>
  <c r="L838" i="8"/>
  <c r="K832" i="7"/>
  <c r="AL616" i="1"/>
  <c r="AL604" i="1" s="1"/>
  <c r="T756" i="8"/>
  <c r="K760" i="8" s="1"/>
  <c r="T750" i="7"/>
  <c r="J754" i="7" s="1"/>
  <c r="R654" i="1"/>
  <c r="GK654" i="1" s="1"/>
  <c r="V794" i="7"/>
  <c r="V800" i="8"/>
  <c r="AI685" i="1"/>
  <c r="T873" i="7"/>
  <c r="J878" i="7" s="1"/>
  <c r="T879" i="8"/>
  <c r="K884" i="8" s="1"/>
  <c r="GM613" i="1"/>
  <c r="GP613" i="1" s="1"/>
  <c r="J244" i="7"/>
  <c r="K250" i="8"/>
  <c r="CP172" i="1"/>
  <c r="O172" i="1" s="1"/>
  <c r="R607" i="1"/>
  <c r="GK607" i="1" s="1"/>
  <c r="V750" i="7"/>
  <c r="V756" i="8"/>
  <c r="K677" i="8"/>
  <c r="J671" i="7"/>
  <c r="J414" i="8"/>
  <c r="GM410" i="1"/>
  <c r="GP410" i="1" s="1"/>
  <c r="K810" i="8"/>
  <c r="J804" i="7"/>
  <c r="I809" i="7" s="1"/>
  <c r="K879" i="7"/>
  <c r="L885" i="8"/>
  <c r="K487" i="7"/>
  <c r="L493" i="8"/>
  <c r="J901" i="7"/>
  <c r="K907" i="8"/>
  <c r="K362" i="7"/>
  <c r="L368" i="8"/>
  <c r="CP277" i="1"/>
  <c r="O277" i="1" s="1"/>
  <c r="J367" i="7"/>
  <c r="K373" i="8"/>
  <c r="J515" i="7"/>
  <c r="K521" i="8"/>
  <c r="GM370" i="1"/>
  <c r="GP370" i="1" s="1"/>
  <c r="AH443" i="1"/>
  <c r="AH406" i="1" s="1"/>
  <c r="K519" i="7"/>
  <c r="L525" i="8"/>
  <c r="J689" i="7"/>
  <c r="K695" i="8"/>
  <c r="R518" i="1"/>
  <c r="GK518" i="1" s="1"/>
  <c r="V660" i="7"/>
  <c r="V666" i="8"/>
  <c r="T621" i="7"/>
  <c r="J628" i="7" s="1"/>
  <c r="T627" i="8"/>
  <c r="K634" i="8" s="1"/>
  <c r="GM568" i="1"/>
  <c r="GP568" i="1" s="1"/>
  <c r="AH685" i="1"/>
  <c r="L814" i="8"/>
  <c r="K808" i="7"/>
  <c r="K816" i="7"/>
  <c r="L822" i="8"/>
  <c r="R35" i="1"/>
  <c r="V44" i="7"/>
  <c r="J52" i="7" s="1"/>
  <c r="V50" i="8"/>
  <c r="K58" i="8" s="1"/>
  <c r="K113" i="7"/>
  <c r="L119" i="8"/>
  <c r="CZ178" i="1"/>
  <c r="Y178" i="1" s="1"/>
  <c r="J226" i="7"/>
  <c r="K232" i="8"/>
  <c r="CY178" i="1"/>
  <c r="X178" i="1" s="1"/>
  <c r="GM178" i="1" s="1"/>
  <c r="GP178" i="1" s="1"/>
  <c r="R435" i="1"/>
  <c r="GK435" i="1" s="1"/>
  <c r="V593" i="7"/>
  <c r="V599" i="8"/>
  <c r="CZ285" i="1"/>
  <c r="Y285" i="1" s="1"/>
  <c r="J394" i="7"/>
  <c r="K400" i="8"/>
  <c r="J448" i="7"/>
  <c r="K454" i="8"/>
  <c r="K128" i="7"/>
  <c r="L134" i="8"/>
  <c r="J434" i="7"/>
  <c r="K440" i="8"/>
  <c r="GK424" i="1"/>
  <c r="J561" i="7"/>
  <c r="K567" i="8"/>
  <c r="CP424" i="1"/>
  <c r="O424" i="1" s="1"/>
  <c r="J562" i="7"/>
  <c r="K568" i="8"/>
  <c r="CP420" i="1"/>
  <c r="O420" i="1" s="1"/>
  <c r="J534" i="7"/>
  <c r="K540" i="8"/>
  <c r="AH92" i="1"/>
  <c r="K149" i="7"/>
  <c r="L155" i="8"/>
  <c r="T192" i="7"/>
  <c r="J197" i="7" s="1"/>
  <c r="T198" i="8"/>
  <c r="K203" i="8" s="1"/>
  <c r="GM274" i="1"/>
  <c r="GP274" i="1" s="1"/>
  <c r="R513" i="1"/>
  <c r="V621" i="7"/>
  <c r="J629" i="7" s="1"/>
  <c r="V627" i="8"/>
  <c r="K635" i="8" s="1"/>
  <c r="AD292" i="1"/>
  <c r="J331" i="7"/>
  <c r="K337" i="8"/>
  <c r="GM612" i="1"/>
  <c r="GP612" i="1" s="1"/>
  <c r="CJ534" i="1"/>
  <c r="K858" i="7"/>
  <c r="L864" i="8"/>
  <c r="T678" i="7"/>
  <c r="J683" i="7" s="1"/>
  <c r="T684" i="8"/>
  <c r="K689" i="8" s="1"/>
  <c r="CP673" i="1"/>
  <c r="O673" i="1" s="1"/>
  <c r="GM673" i="1" s="1"/>
  <c r="GP673" i="1" s="1"/>
  <c r="CP41" i="1"/>
  <c r="O41" i="1" s="1"/>
  <c r="K96" i="8"/>
  <c r="J90" i="7"/>
  <c r="J58" i="7"/>
  <c r="K64" i="8"/>
  <c r="R129" i="1"/>
  <c r="V163" i="7"/>
  <c r="J171" i="7" s="1"/>
  <c r="V169" i="8"/>
  <c r="K177" i="8" s="1"/>
  <c r="J218" i="7"/>
  <c r="K224" i="8"/>
  <c r="K240" i="7"/>
  <c r="L246" i="8"/>
  <c r="K222" i="7"/>
  <c r="L228" i="8"/>
  <c r="R131" i="1"/>
  <c r="V174" i="7"/>
  <c r="J182" i="7" s="1"/>
  <c r="V180" i="8"/>
  <c r="K188" i="8" s="1"/>
  <c r="R276" i="1"/>
  <c r="GK276" i="1" s="1"/>
  <c r="V356" i="7"/>
  <c r="V362" i="8"/>
  <c r="GM281" i="1"/>
  <c r="GP281" i="1" s="1"/>
  <c r="CP272" i="1"/>
  <c r="O272" i="1" s="1"/>
  <c r="J333" i="7"/>
  <c r="K339" i="8"/>
  <c r="GM188" i="1"/>
  <c r="GP188" i="1" s="1"/>
  <c r="CP279" i="1"/>
  <c r="O279" i="1" s="1"/>
  <c r="J418" i="7"/>
  <c r="K424" i="8"/>
  <c r="K581" i="7"/>
  <c r="L587" i="8"/>
  <c r="R621" i="7"/>
  <c r="J627" i="7" s="1"/>
  <c r="R627" i="8"/>
  <c r="K633" i="8" s="1"/>
  <c r="CZ422" i="1"/>
  <c r="Y422" i="1" s="1"/>
  <c r="R670" i="1"/>
  <c r="GK670" i="1" s="1"/>
  <c r="V881" i="7"/>
  <c r="V887" i="8"/>
  <c r="R678" i="7"/>
  <c r="J682" i="7" s="1"/>
  <c r="R684" i="8"/>
  <c r="K688" i="8" s="1"/>
  <c r="R664" i="1"/>
  <c r="GK664" i="1" s="1"/>
  <c r="V858" i="8"/>
  <c r="V852" i="7"/>
  <c r="AC685" i="1"/>
  <c r="GM683" i="1"/>
  <c r="GP683" i="1" s="1"/>
  <c r="GM521" i="1"/>
  <c r="GP521" i="1" s="1"/>
  <c r="V446" i="7"/>
  <c r="V452" i="8"/>
  <c r="R365" i="1"/>
  <c r="R198" i="1"/>
  <c r="GK198" i="1" s="1"/>
  <c r="V299" i="7"/>
  <c r="V305" i="8"/>
  <c r="K451" i="7"/>
  <c r="L457" i="8"/>
  <c r="R89" i="1"/>
  <c r="V142" i="7"/>
  <c r="V148" i="8"/>
  <c r="J321" i="7"/>
  <c r="K327" i="8"/>
  <c r="AS566" i="1"/>
  <c r="F589" i="1"/>
  <c r="J715" i="7"/>
  <c r="I719" i="7" s="1"/>
  <c r="K721" i="8"/>
  <c r="K852" i="8"/>
  <c r="J846" i="7"/>
  <c r="CY663" i="1"/>
  <c r="X663" i="1" s="1"/>
  <c r="CZ663" i="1"/>
  <c r="Y663" i="1" s="1"/>
  <c r="GM663" i="1" s="1"/>
  <c r="GP663" i="1" s="1"/>
  <c r="J893" i="7"/>
  <c r="K899" i="8"/>
  <c r="CY675" i="1"/>
  <c r="X675" i="1" s="1"/>
  <c r="GM675" i="1" s="1"/>
  <c r="GP675" i="1" s="1"/>
  <c r="CZ675" i="1"/>
  <c r="Y675" i="1" s="1"/>
  <c r="K566" i="7"/>
  <c r="L572" i="8"/>
  <c r="L921" i="8"/>
  <c r="K915" i="7"/>
  <c r="J705" i="7"/>
  <c r="K711" i="8"/>
  <c r="CZ39" i="1"/>
  <c r="Y39" i="1" s="1"/>
  <c r="J67" i="7"/>
  <c r="K73" i="8"/>
  <c r="CY39" i="1"/>
  <c r="X39" i="1" s="1"/>
  <c r="F689" i="1"/>
  <c r="AO648" i="1"/>
  <c r="GK367" i="1"/>
  <c r="J457" i="7"/>
  <c r="K463" i="8"/>
  <c r="J455" i="7"/>
  <c r="K461" i="8"/>
  <c r="CP437" i="1"/>
  <c r="O437" i="1" s="1"/>
  <c r="CY422" i="1"/>
  <c r="X422" i="1" s="1"/>
  <c r="J883" i="7"/>
  <c r="K889" i="8"/>
  <c r="GM672" i="1"/>
  <c r="GP672" i="1" s="1"/>
  <c r="T905" i="8"/>
  <c r="K910" i="8" s="1"/>
  <c r="T899" i="7"/>
  <c r="J904" i="7" s="1"/>
  <c r="J265" i="7"/>
  <c r="I270" i="7" s="1"/>
  <c r="K271" i="8"/>
  <c r="J377" i="7"/>
  <c r="K383" i="8"/>
  <c r="J107" i="7"/>
  <c r="K113" i="8"/>
  <c r="J120" i="8" s="1"/>
  <c r="K641" i="7"/>
  <c r="L647" i="8"/>
  <c r="J847" i="7"/>
  <c r="K853" i="8"/>
  <c r="CZ174" i="1"/>
  <c r="Y174" i="1" s="1"/>
  <c r="J202" i="7"/>
  <c r="K208" i="8"/>
  <c r="CY174" i="1"/>
  <c r="X174" i="1" s="1"/>
  <c r="GM174" i="1" s="1"/>
  <c r="GP174" i="1" s="1"/>
  <c r="J435" i="7"/>
  <c r="K441" i="8"/>
  <c r="AD330" i="1"/>
  <c r="J491" i="7"/>
  <c r="K497" i="8"/>
  <c r="K269" i="7"/>
  <c r="L275" i="8"/>
  <c r="J348" i="7"/>
  <c r="K354" i="8"/>
  <c r="K495" i="7"/>
  <c r="L501" i="8"/>
  <c r="K473" i="7"/>
  <c r="L479" i="8"/>
  <c r="J670" i="7"/>
  <c r="K676" i="8"/>
  <c r="V763" i="8"/>
  <c r="K771" i="8" s="1"/>
  <c r="V757" i="7"/>
  <c r="J765" i="7" s="1"/>
  <c r="R609" i="1"/>
  <c r="J838" i="7"/>
  <c r="K844" i="8"/>
  <c r="CP435" i="1"/>
  <c r="O435" i="1" s="1"/>
  <c r="GM435" i="1" s="1"/>
  <c r="GP435" i="1" s="1"/>
  <c r="J596" i="7"/>
  <c r="K602" i="8"/>
  <c r="J560" i="7"/>
  <c r="K566" i="8"/>
  <c r="GK286" i="1"/>
  <c r="GM286" i="1" s="1"/>
  <c r="GP286" i="1" s="1"/>
  <c r="J403" i="7"/>
  <c r="K409" i="8"/>
  <c r="R41" i="1"/>
  <c r="V87" i="7"/>
  <c r="J95" i="7" s="1"/>
  <c r="V93" i="8"/>
  <c r="K101" i="8" s="1"/>
  <c r="CP43" i="1"/>
  <c r="O43" i="1" s="1"/>
  <c r="GM43" i="1" s="1"/>
  <c r="GP43" i="1" s="1"/>
  <c r="R171" i="1"/>
  <c r="V192" i="7"/>
  <c r="V198" i="8"/>
  <c r="GM197" i="1"/>
  <c r="GP197" i="1" s="1"/>
  <c r="GM282" i="1"/>
  <c r="GP282" i="1" s="1"/>
  <c r="U330" i="1"/>
  <c r="K591" i="7"/>
  <c r="L597" i="8"/>
  <c r="CP131" i="1"/>
  <c r="O131" i="1" s="1"/>
  <c r="J177" i="7"/>
  <c r="I184" i="7" s="1"/>
  <c r="K183" i="8"/>
  <c r="J190" i="8" s="1"/>
  <c r="R273" i="1"/>
  <c r="GK273" i="1" s="1"/>
  <c r="V339" i="7"/>
  <c r="V345" i="8"/>
  <c r="T346" i="7"/>
  <c r="J352" i="7" s="1"/>
  <c r="T352" i="8"/>
  <c r="K358" i="8" s="1"/>
  <c r="J219" i="7"/>
  <c r="K225" i="8"/>
  <c r="T382" i="7"/>
  <c r="J388" i="7" s="1"/>
  <c r="T388" i="8"/>
  <c r="K394" i="8" s="1"/>
  <c r="T593" i="7"/>
  <c r="J598" i="7" s="1"/>
  <c r="T599" i="8"/>
  <c r="K604" i="8" s="1"/>
  <c r="CP660" i="1"/>
  <c r="O660" i="1" s="1"/>
  <c r="K834" i="8"/>
  <c r="J828" i="7"/>
  <c r="AI54" i="1"/>
  <c r="AI30" i="1" s="1"/>
  <c r="GM42" i="1"/>
  <c r="GP42" i="1" s="1"/>
  <c r="T37" i="7"/>
  <c r="J41" i="7" s="1"/>
  <c r="T43" i="8"/>
  <c r="K47" i="8" s="1"/>
  <c r="CP89" i="1"/>
  <c r="O89" i="1" s="1"/>
  <c r="J144" i="7"/>
  <c r="K150" i="8"/>
  <c r="R177" i="1"/>
  <c r="GK177" i="1" s="1"/>
  <c r="V216" i="7"/>
  <c r="V222" i="8"/>
  <c r="T122" i="7"/>
  <c r="J127" i="7" s="1"/>
  <c r="T128" i="8"/>
  <c r="K133" i="8" s="1"/>
  <c r="K372" i="7"/>
  <c r="L378" i="8"/>
  <c r="K397" i="7"/>
  <c r="L403" i="8"/>
  <c r="CP273" i="1"/>
  <c r="O273" i="1" s="1"/>
  <c r="R346" i="7"/>
  <c r="J351" i="7" s="1"/>
  <c r="R352" i="8"/>
  <c r="K357" i="8" s="1"/>
  <c r="CP367" i="1"/>
  <c r="O367" i="1" s="1"/>
  <c r="J456" i="7"/>
  <c r="K462" i="8"/>
  <c r="J330" i="7"/>
  <c r="K336" i="8"/>
  <c r="R382" i="7"/>
  <c r="J387" i="7" s="1"/>
  <c r="R388" i="8"/>
  <c r="K393" i="8" s="1"/>
  <c r="GM283" i="1"/>
  <c r="GP283" i="1" s="1"/>
  <c r="T497" i="7"/>
  <c r="J502" i="7" s="1"/>
  <c r="T503" i="8"/>
  <c r="K508" i="8" s="1"/>
  <c r="R519" i="1"/>
  <c r="V668" i="7"/>
  <c r="J675" i="7" s="1"/>
  <c r="V674" i="8"/>
  <c r="K681" i="8" s="1"/>
  <c r="AF374" i="1"/>
  <c r="R415" i="1"/>
  <c r="V505" i="7"/>
  <c r="V511" i="8"/>
  <c r="GM411" i="1"/>
  <c r="GP411" i="1" s="1"/>
  <c r="R599" i="8"/>
  <c r="K603" i="8" s="1"/>
  <c r="R593" i="7"/>
  <c r="J597" i="7" s="1"/>
  <c r="K701" i="7"/>
  <c r="L707" i="8"/>
  <c r="CJ685" i="1"/>
  <c r="J740" i="7"/>
  <c r="K746" i="8"/>
  <c r="R899" i="7"/>
  <c r="J903" i="7" s="1"/>
  <c r="R905" i="8"/>
  <c r="K909" i="8" s="1"/>
  <c r="J349" i="7"/>
  <c r="K355" i="8"/>
  <c r="J384" i="7"/>
  <c r="K390" i="8"/>
  <c r="L717" i="8"/>
  <c r="K711" i="7"/>
  <c r="J595" i="7"/>
  <c r="K601" i="8"/>
  <c r="J606" i="8" s="1"/>
  <c r="V453" i="7"/>
  <c r="J461" i="7" s="1"/>
  <c r="V459" i="8"/>
  <c r="K467" i="8" s="1"/>
  <c r="AH616" i="1"/>
  <c r="K755" i="7"/>
  <c r="L761" i="8"/>
  <c r="J624" i="7"/>
  <c r="K630" i="8"/>
  <c r="J637" i="8" s="1"/>
  <c r="K766" i="8"/>
  <c r="J760" i="7"/>
  <c r="CP672" i="1"/>
  <c r="O672" i="1" s="1"/>
  <c r="J665" i="8"/>
  <c r="J124" i="7"/>
  <c r="I129" i="7" s="1"/>
  <c r="K130" i="8"/>
  <c r="R514" i="1"/>
  <c r="V632" i="7"/>
  <c r="J640" i="7" s="1"/>
  <c r="V638" i="8"/>
  <c r="K646" i="8" s="1"/>
  <c r="CP516" i="1"/>
  <c r="O516" i="1" s="1"/>
  <c r="GM516" i="1" s="1"/>
  <c r="GP516" i="1" s="1"/>
  <c r="CY611" i="1"/>
  <c r="X611" i="1" s="1"/>
  <c r="K776" i="8"/>
  <c r="J770" i="7"/>
  <c r="CZ611" i="1"/>
  <c r="Y611" i="1" s="1"/>
  <c r="CP440" i="1"/>
  <c r="O440" i="1" s="1"/>
  <c r="GM440" i="1" s="1"/>
  <c r="GP440" i="1" s="1"/>
  <c r="J606" i="7"/>
  <c r="I610" i="7" s="1"/>
  <c r="K612" i="8"/>
  <c r="K744" i="8"/>
  <c r="J738" i="7"/>
  <c r="F634" i="1"/>
  <c r="AT604" i="1"/>
  <c r="R36" i="1"/>
  <c r="V55" i="7"/>
  <c r="J62" i="7" s="1"/>
  <c r="V61" i="8"/>
  <c r="K68" i="8" s="1"/>
  <c r="J236" i="7"/>
  <c r="K242" i="8"/>
  <c r="K96" i="7"/>
  <c r="L102" i="8"/>
  <c r="R40" i="1"/>
  <c r="AE54" i="1" s="1"/>
  <c r="V76" i="7"/>
  <c r="J84" i="7" s="1"/>
  <c r="V82" i="8"/>
  <c r="K90" i="8" s="1"/>
  <c r="R122" i="7"/>
  <c r="J126" i="7" s="1"/>
  <c r="R128" i="8"/>
  <c r="K132" i="8" s="1"/>
  <c r="R242" i="7"/>
  <c r="J246" i="7" s="1"/>
  <c r="R248" i="8"/>
  <c r="K252" i="8" s="1"/>
  <c r="CP288" i="1"/>
  <c r="O288" i="1" s="1"/>
  <c r="J421" i="7"/>
  <c r="K427" i="8"/>
  <c r="T291" i="7"/>
  <c r="J296" i="7" s="1"/>
  <c r="T297" i="8"/>
  <c r="K302" i="8" s="1"/>
  <c r="T364" i="7"/>
  <c r="J370" i="7" s="1"/>
  <c r="T370" i="8"/>
  <c r="K376" i="8" s="1"/>
  <c r="R497" i="7"/>
  <c r="J501" i="7" s="1"/>
  <c r="R503" i="8"/>
  <c r="K507" i="8" s="1"/>
  <c r="CJ443" i="1"/>
  <c r="T446" i="7"/>
  <c r="J450" i="7" s="1"/>
  <c r="T452" i="8"/>
  <c r="K456" i="8" s="1"/>
  <c r="T531" i="7"/>
  <c r="J536" i="7" s="1"/>
  <c r="T537" i="8"/>
  <c r="K542" i="8" s="1"/>
  <c r="GM441" i="1"/>
  <c r="GP441" i="1" s="1"/>
  <c r="AG534" i="1"/>
  <c r="R663" i="1"/>
  <c r="GK663" i="1" s="1"/>
  <c r="V850" i="8"/>
  <c r="V844" i="7"/>
  <c r="R682" i="1"/>
  <c r="GK682" i="1" s="1"/>
  <c r="V909" i="7"/>
  <c r="V915" i="8"/>
  <c r="K779" i="8"/>
  <c r="J773" i="7"/>
  <c r="T539" i="7"/>
  <c r="J544" i="7" s="1"/>
  <c r="T545" i="8"/>
  <c r="K550" i="8" s="1"/>
  <c r="CP514" i="1"/>
  <c r="O514" i="1" s="1"/>
  <c r="J637" i="7"/>
  <c r="K643" i="8"/>
  <c r="AG685" i="1"/>
  <c r="R569" i="1"/>
  <c r="V736" i="7"/>
  <c r="V742" i="8"/>
  <c r="GM532" i="1"/>
  <c r="GP532" i="1" s="1"/>
  <c r="T836" i="7"/>
  <c r="J841" i="7" s="1"/>
  <c r="T842" i="8"/>
  <c r="K847" i="8" s="1"/>
  <c r="GM653" i="1"/>
  <c r="GP653" i="1" s="1"/>
  <c r="J132" i="7"/>
  <c r="I136" i="7" s="1"/>
  <c r="K138" i="8"/>
  <c r="J142" i="8" s="1"/>
  <c r="CY195" i="1"/>
  <c r="X195" i="1" s="1"/>
  <c r="CZ195" i="1"/>
  <c r="Y195" i="1" s="1"/>
  <c r="J194" i="7"/>
  <c r="K200" i="8"/>
  <c r="R185" i="1"/>
  <c r="GK185" i="1" s="1"/>
  <c r="V263" i="7"/>
  <c r="V269" i="8"/>
  <c r="GK517" i="1"/>
  <c r="GM517" i="1" s="1"/>
  <c r="GP517" i="1" s="1"/>
  <c r="J654" i="7"/>
  <c r="K660" i="8"/>
  <c r="J752" i="7"/>
  <c r="I756" i="7" s="1"/>
  <c r="K758" i="8"/>
  <c r="J125" i="7"/>
  <c r="K131" i="8"/>
  <c r="J135" i="8" s="1"/>
  <c r="CY426" i="1"/>
  <c r="X426" i="1" s="1"/>
  <c r="J570" i="7"/>
  <c r="K576" i="8"/>
  <c r="CZ426" i="1"/>
  <c r="Y426" i="1" s="1"/>
  <c r="K648" i="7"/>
  <c r="L654" i="8"/>
  <c r="K609" i="7"/>
  <c r="L615" i="8"/>
  <c r="R528" i="1"/>
  <c r="V703" i="7"/>
  <c r="J710" i="7" s="1"/>
  <c r="V709" i="8"/>
  <c r="K716" i="8" s="1"/>
  <c r="J275" i="7"/>
  <c r="K281" i="8"/>
  <c r="J286" i="8" s="1"/>
  <c r="CY530" i="1"/>
  <c r="X530" i="1" s="1"/>
  <c r="J722" i="7"/>
  <c r="K728" i="8"/>
  <c r="J533" i="7"/>
  <c r="K539" i="8"/>
  <c r="J544" i="8" s="1"/>
  <c r="J788" i="7"/>
  <c r="K794" i="8"/>
  <c r="CZ651" i="1"/>
  <c r="Y651" i="1" s="1"/>
  <c r="CY651" i="1"/>
  <c r="X651" i="1" s="1"/>
  <c r="CY438" i="1"/>
  <c r="X438" i="1" s="1"/>
  <c r="GM438" i="1" s="1"/>
  <c r="GP438" i="1" s="1"/>
  <c r="CZ438" i="1"/>
  <c r="Y438" i="1" s="1"/>
  <c r="J635" i="7"/>
  <c r="K641" i="8"/>
  <c r="AD92" i="1"/>
  <c r="AD86" i="1" s="1"/>
  <c r="J145" i="7"/>
  <c r="K151" i="8"/>
  <c r="AD136" i="1"/>
  <c r="AD124" i="1" s="1"/>
  <c r="J166" i="7"/>
  <c r="K172" i="8"/>
  <c r="R273" i="7"/>
  <c r="J277" i="7" s="1"/>
  <c r="R279" i="8"/>
  <c r="K283" i="8" s="1"/>
  <c r="R285" i="1"/>
  <c r="GK285" i="1" s="1"/>
  <c r="V392" i="7"/>
  <c r="V398" i="8"/>
  <c r="T76" i="7"/>
  <c r="J83" i="7" s="1"/>
  <c r="T82" i="8"/>
  <c r="K89" i="8" s="1"/>
  <c r="CJ201" i="1"/>
  <c r="BA201" i="1" s="1"/>
  <c r="R37" i="7"/>
  <c r="J40" i="7" s="1"/>
  <c r="I43" i="7" s="1"/>
  <c r="R43" i="8"/>
  <c r="K46" i="8" s="1"/>
  <c r="J49" i="8" s="1"/>
  <c r="CP48" i="1"/>
  <c r="O48" i="1" s="1"/>
  <c r="AD54" i="1"/>
  <c r="J79" i="7"/>
  <c r="K85" i="8"/>
  <c r="F70" i="1"/>
  <c r="R180" i="1"/>
  <c r="GK180" i="1" s="1"/>
  <c r="V234" i="7"/>
  <c r="V240" i="8"/>
  <c r="CP130" i="1"/>
  <c r="O130" i="1" s="1"/>
  <c r="CP129" i="1"/>
  <c r="O129" i="1" s="1"/>
  <c r="T242" i="7"/>
  <c r="J247" i="7" s="1"/>
  <c r="T248" i="8"/>
  <c r="K253" i="8" s="1"/>
  <c r="K425" i="7"/>
  <c r="L431" i="8"/>
  <c r="R291" i="7"/>
  <c r="J295" i="7" s="1"/>
  <c r="R297" i="8"/>
  <c r="K301" i="8" s="1"/>
  <c r="R364" i="7"/>
  <c r="J369" i="7" s="1"/>
  <c r="R370" i="8"/>
  <c r="K375" i="8" s="1"/>
  <c r="GM290" i="1"/>
  <c r="GP290" i="1" s="1"/>
  <c r="R446" i="7"/>
  <c r="J449" i="7" s="1"/>
  <c r="R452" i="8"/>
  <c r="K455" i="8" s="1"/>
  <c r="CP326" i="1"/>
  <c r="O326" i="1" s="1"/>
  <c r="GM326" i="1" s="1"/>
  <c r="GP326" i="1" s="1"/>
  <c r="AI443" i="1"/>
  <c r="AI406" i="1" s="1"/>
  <c r="R531" i="7"/>
  <c r="J535" i="7" s="1"/>
  <c r="R537" i="8"/>
  <c r="K541" i="8" s="1"/>
  <c r="AL330" i="1"/>
  <c r="T432" i="7"/>
  <c r="J438" i="7" s="1"/>
  <c r="T438" i="8"/>
  <c r="K444" i="8" s="1"/>
  <c r="GM520" i="1"/>
  <c r="GP520" i="1" s="1"/>
  <c r="R611" i="1"/>
  <c r="V768" i="7"/>
  <c r="J776" i="7" s="1"/>
  <c r="V774" i="8"/>
  <c r="K782" i="8" s="1"/>
  <c r="R539" i="7"/>
  <c r="J543" i="7" s="1"/>
  <c r="I546" i="7" s="1"/>
  <c r="R545" i="8"/>
  <c r="K549" i="8" s="1"/>
  <c r="R662" i="1"/>
  <c r="GK662" i="1" s="1"/>
  <c r="GM662" i="1" s="1"/>
  <c r="GP662" i="1" s="1"/>
  <c r="V836" i="7"/>
  <c r="V842" i="8"/>
  <c r="AD572" i="1"/>
  <c r="AD566" i="1" s="1"/>
  <c r="J739" i="7"/>
  <c r="K745" i="8"/>
  <c r="AL572" i="1"/>
  <c r="T742" i="8"/>
  <c r="K748" i="8" s="1"/>
  <c r="T736" i="7"/>
  <c r="J742" i="7" s="1"/>
  <c r="GM606" i="1"/>
  <c r="GP606" i="1" s="1"/>
  <c r="R842" i="8"/>
  <c r="K846" i="8" s="1"/>
  <c r="R836" i="7"/>
  <c r="J840" i="7" s="1"/>
  <c r="GM678" i="1"/>
  <c r="GP678" i="1" s="1"/>
  <c r="J117" i="7"/>
  <c r="I121" i="7" s="1"/>
  <c r="K123" i="8"/>
  <c r="J127" i="8" s="1"/>
  <c r="BB30" i="1"/>
  <c r="F67" i="1"/>
  <c r="J319" i="7"/>
  <c r="I327" i="7" s="1"/>
  <c r="K325" i="8"/>
  <c r="J333" i="8" s="1"/>
  <c r="CP199" i="1"/>
  <c r="O199" i="1" s="1"/>
  <c r="GM199" i="1" s="1"/>
  <c r="GP199" i="1" s="1"/>
  <c r="J366" i="7"/>
  <c r="K372" i="8"/>
  <c r="CP49" i="1"/>
  <c r="O49" i="1" s="1"/>
  <c r="GM49" i="1" s="1"/>
  <c r="GP49" i="1" s="1"/>
  <c r="K712" i="8"/>
  <c r="J706" i="7"/>
  <c r="R413" i="1"/>
  <c r="GK413" i="1" s="1"/>
  <c r="GM413" i="1" s="1"/>
  <c r="GP413" i="1" s="1"/>
  <c r="V497" i="7"/>
  <c r="V503" i="8"/>
  <c r="K795" i="8"/>
  <c r="J789" i="7"/>
  <c r="J254" i="7"/>
  <c r="K260" i="8"/>
  <c r="CY183" i="1"/>
  <c r="X183" i="1" s="1"/>
  <c r="CZ183" i="1"/>
  <c r="Y183" i="1" s="1"/>
  <c r="CY41" i="1"/>
  <c r="X41" i="1" s="1"/>
  <c r="J89" i="7"/>
  <c r="K95" i="8"/>
  <c r="CZ41" i="1"/>
  <c r="Y41" i="1" s="1"/>
  <c r="J662" i="7"/>
  <c r="K668" i="8"/>
  <c r="J673" i="8" s="1"/>
  <c r="BA443" i="1"/>
  <c r="CJ406" i="1"/>
  <c r="AD509" i="1"/>
  <c r="Q534" i="1"/>
  <c r="CJ509" i="1"/>
  <c r="BA534" i="1"/>
  <c r="U685" i="1"/>
  <c r="AH648" i="1"/>
  <c r="AG362" i="1"/>
  <c r="T374" i="1"/>
  <c r="AG509" i="1"/>
  <c r="T534" i="1"/>
  <c r="AB92" i="1"/>
  <c r="AJ648" i="1"/>
  <c r="W685" i="1"/>
  <c r="Q292" i="1"/>
  <c r="AD267" i="1"/>
  <c r="CI30" i="1"/>
  <c r="AZ54" i="1"/>
  <c r="AG648" i="1"/>
  <c r="T685" i="1"/>
  <c r="CG168" i="1"/>
  <c r="AX201" i="1"/>
  <c r="AD30" i="1"/>
  <c r="Q54" i="1"/>
  <c r="AJ406" i="1"/>
  <c r="W443" i="1"/>
  <c r="Q616" i="1"/>
  <c r="AI648" i="1"/>
  <c r="V685" i="1"/>
  <c r="W201" i="1"/>
  <c r="AJ168" i="1"/>
  <c r="AH362" i="1"/>
  <c r="U374" i="1"/>
  <c r="BA685" i="1"/>
  <c r="CJ648" i="1"/>
  <c r="CE54" i="1"/>
  <c r="AC30" i="1"/>
  <c r="P54" i="1"/>
  <c r="CF54" i="1"/>
  <c r="CH54" i="1"/>
  <c r="GM37" i="1"/>
  <c r="GP37" i="1" s="1"/>
  <c r="AJ124" i="1"/>
  <c r="W136" i="1"/>
  <c r="AH30" i="1"/>
  <c r="U54" i="1"/>
  <c r="CJ30" i="1"/>
  <c r="BA54" i="1"/>
  <c r="BD168" i="1"/>
  <c r="F226" i="1"/>
  <c r="CY273" i="1"/>
  <c r="X273" i="1" s="1"/>
  <c r="CZ273" i="1"/>
  <c r="Y273" i="1" s="1"/>
  <c r="AO406" i="1"/>
  <c r="F447" i="1"/>
  <c r="CZ417" i="1"/>
  <c r="Y417" i="1" s="1"/>
  <c r="CY417" i="1"/>
  <c r="X417" i="1" s="1"/>
  <c r="AV324" i="1"/>
  <c r="F335" i="1"/>
  <c r="AF324" i="1"/>
  <c r="S330" i="1"/>
  <c r="AS534" i="1"/>
  <c r="CB509" i="1"/>
  <c r="AP406" i="1"/>
  <c r="F452" i="1"/>
  <c r="AZ616" i="1"/>
  <c r="CI604" i="1"/>
  <c r="AE572" i="1"/>
  <c r="GK569" i="1"/>
  <c r="AQ648" i="1"/>
  <c r="F695" i="1"/>
  <c r="F159" i="1"/>
  <c r="V124" i="1"/>
  <c r="V292" i="1"/>
  <c r="AI267" i="1"/>
  <c r="CY522" i="1"/>
  <c r="X522" i="1" s="1"/>
  <c r="CZ522" i="1"/>
  <c r="Y522" i="1" s="1"/>
  <c r="CY660" i="1"/>
  <c r="X660" i="1" s="1"/>
  <c r="CZ660" i="1"/>
  <c r="Y660" i="1" s="1"/>
  <c r="AS648" i="1"/>
  <c r="F702" i="1"/>
  <c r="AP201" i="1"/>
  <c r="BY168" i="1"/>
  <c r="CI201" i="1"/>
  <c r="AE292" i="1"/>
  <c r="CG267" i="1"/>
  <c r="AX292" i="1"/>
  <c r="CP177" i="1"/>
  <c r="O177" i="1" s="1"/>
  <c r="AJ267" i="1"/>
  <c r="W292" i="1"/>
  <c r="AE534" i="1"/>
  <c r="GK513" i="1"/>
  <c r="GM513" i="1" s="1"/>
  <c r="GK415" i="1"/>
  <c r="CY527" i="1"/>
  <c r="X527" i="1" s="1"/>
  <c r="CZ527" i="1"/>
  <c r="Y527" i="1" s="1"/>
  <c r="GM434" i="1"/>
  <c r="GP434" i="1" s="1"/>
  <c r="BC566" i="1"/>
  <c r="F588" i="1"/>
  <c r="BC715" i="1"/>
  <c r="CG566" i="1"/>
  <c r="AX572" i="1"/>
  <c r="AB685" i="1"/>
  <c r="CG648" i="1"/>
  <c r="AX685" i="1"/>
  <c r="CY43" i="1"/>
  <c r="X43" i="1" s="1"/>
  <c r="CZ43" i="1"/>
  <c r="Y43" i="1" s="1"/>
  <c r="AG86" i="1"/>
  <c r="T92" i="1"/>
  <c r="AC86" i="1"/>
  <c r="CE92" i="1"/>
  <c r="CF92" i="1"/>
  <c r="CH92" i="1"/>
  <c r="P92" i="1"/>
  <c r="F145" i="1"/>
  <c r="AP124" i="1"/>
  <c r="AO267" i="1"/>
  <c r="F296" i="1"/>
  <c r="AO473" i="1"/>
  <c r="CI267" i="1"/>
  <c r="AZ292" i="1"/>
  <c r="CY428" i="1"/>
  <c r="X428" i="1" s="1"/>
  <c r="CZ428" i="1"/>
  <c r="Y428" i="1" s="1"/>
  <c r="GM425" i="1"/>
  <c r="GP425" i="1" s="1"/>
  <c r="AD443" i="1"/>
  <c r="BA362" i="1"/>
  <c r="F394" i="1"/>
  <c r="CZ512" i="1"/>
  <c r="Y512" i="1" s="1"/>
  <c r="CY512" i="1"/>
  <c r="X512" i="1" s="1"/>
  <c r="F461" i="1"/>
  <c r="AT406" i="1"/>
  <c r="CI509" i="1"/>
  <c r="AZ534" i="1"/>
  <c r="AF124" i="1"/>
  <c r="S136" i="1"/>
  <c r="AP267" i="1"/>
  <c r="AP473" i="1"/>
  <c r="F301" i="1"/>
  <c r="CY437" i="1"/>
  <c r="X437" i="1" s="1"/>
  <c r="CZ437" i="1"/>
  <c r="Y437" i="1" s="1"/>
  <c r="BA572" i="1"/>
  <c r="CJ566" i="1"/>
  <c r="GM677" i="1"/>
  <c r="GP677" i="1" s="1"/>
  <c r="AP509" i="1"/>
  <c r="F543" i="1"/>
  <c r="AP715" i="1"/>
  <c r="CJ168" i="1"/>
  <c r="AE136" i="1"/>
  <c r="AJ30" i="1"/>
  <c r="W54" i="1"/>
  <c r="GM46" i="1"/>
  <c r="GP46" i="1" s="1"/>
  <c r="F158" i="1"/>
  <c r="U124" i="1"/>
  <c r="AL124" i="1"/>
  <c r="Y136" i="1"/>
  <c r="BD324" i="1"/>
  <c r="F355" i="1"/>
  <c r="CY326" i="1"/>
  <c r="X326" i="1" s="1"/>
  <c r="CZ326" i="1"/>
  <c r="Y326" i="1" s="1"/>
  <c r="CY272" i="1"/>
  <c r="X272" i="1" s="1"/>
  <c r="CZ272" i="1"/>
  <c r="Y272" i="1" s="1"/>
  <c r="AF292" i="1"/>
  <c r="CP417" i="1"/>
  <c r="O417" i="1" s="1"/>
  <c r="AC443" i="1"/>
  <c r="CZ436" i="1"/>
  <c r="Y436" i="1" s="1"/>
  <c r="CY436" i="1"/>
  <c r="X436" i="1" s="1"/>
  <c r="GM436" i="1" s="1"/>
  <c r="GP436" i="1" s="1"/>
  <c r="BZ406" i="1"/>
  <c r="AQ443" i="1"/>
  <c r="AQ473" i="1" s="1"/>
  <c r="CG443" i="1"/>
  <c r="CB406" i="1"/>
  <c r="AS443" i="1"/>
  <c r="BD604" i="1"/>
  <c r="F641" i="1"/>
  <c r="BD715" i="1"/>
  <c r="AT534" i="1"/>
  <c r="CC509" i="1"/>
  <c r="GM607" i="1"/>
  <c r="GM656" i="1"/>
  <c r="GP656" i="1" s="1"/>
  <c r="W92" i="1"/>
  <c r="AJ86" i="1"/>
  <c r="CG86" i="1"/>
  <c r="AX92" i="1"/>
  <c r="CG124" i="1"/>
  <c r="AX136" i="1"/>
  <c r="AZ124" i="1"/>
  <c r="F147" i="1"/>
  <c r="BD267" i="1"/>
  <c r="F317" i="1"/>
  <c r="BD473" i="1"/>
  <c r="F347" i="1"/>
  <c r="AS324" i="1"/>
  <c r="GM191" i="1"/>
  <c r="GP191" i="1" s="1"/>
  <c r="BA324" i="1"/>
  <c r="F350" i="1"/>
  <c r="AB330" i="1"/>
  <c r="GM416" i="1"/>
  <c r="GP416" i="1" s="1"/>
  <c r="AF534" i="1"/>
  <c r="CY515" i="1"/>
  <c r="X515" i="1" s="1"/>
  <c r="CZ515" i="1"/>
  <c r="Y515" i="1" s="1"/>
  <c r="BB648" i="1"/>
  <c r="F698" i="1"/>
  <c r="AQ566" i="1"/>
  <c r="F582" i="1"/>
  <c r="AF604" i="1"/>
  <c r="S616" i="1"/>
  <c r="F694" i="1"/>
  <c r="AP648" i="1"/>
  <c r="GM669" i="1"/>
  <c r="GP669" i="1" s="1"/>
  <c r="CZ288" i="1"/>
  <c r="Y288" i="1" s="1"/>
  <c r="CY288" i="1"/>
  <c r="X288" i="1" s="1"/>
  <c r="F102" i="1"/>
  <c r="AQ86" i="1"/>
  <c r="GK171" i="1"/>
  <c r="GM171" i="1" s="1"/>
  <c r="F63" i="1"/>
  <c r="AP30" i="1"/>
  <c r="AP231" i="1"/>
  <c r="AZ86" i="1"/>
  <c r="F103" i="1"/>
  <c r="GM328" i="1"/>
  <c r="GP328" i="1" s="1"/>
  <c r="CH324" i="1"/>
  <c r="AY330" i="1"/>
  <c r="AQ54" i="1"/>
  <c r="BZ30" i="1"/>
  <c r="CZ36" i="1"/>
  <c r="Y36" i="1" s="1"/>
  <c r="CY36" i="1"/>
  <c r="X36" i="1" s="1"/>
  <c r="AT374" i="1"/>
  <c r="CC362" i="1"/>
  <c r="AG30" i="1"/>
  <c r="T54" i="1"/>
  <c r="AC201" i="1"/>
  <c r="CI362" i="1"/>
  <c r="AZ374" i="1"/>
  <c r="CP428" i="1"/>
  <c r="O428" i="1" s="1"/>
  <c r="AW330" i="1"/>
  <c r="CF324" i="1"/>
  <c r="AP324" i="1"/>
  <c r="F339" i="1"/>
  <c r="F381" i="1"/>
  <c r="AX362" i="1"/>
  <c r="AI534" i="1"/>
  <c r="AQ509" i="1"/>
  <c r="F544" i="1"/>
  <c r="CP611" i="1"/>
  <c r="O611" i="1" s="1"/>
  <c r="AC616" i="1"/>
  <c r="AT648" i="1"/>
  <c r="F703" i="1"/>
  <c r="BA604" i="1"/>
  <c r="F636" i="1"/>
  <c r="CG30" i="1"/>
  <c r="AX54" i="1"/>
  <c r="AF92" i="1"/>
  <c r="CY89" i="1"/>
  <c r="X89" i="1" s="1"/>
  <c r="CZ89" i="1"/>
  <c r="Y89" i="1" s="1"/>
  <c r="CB168" i="1"/>
  <c r="AS201" i="1"/>
  <c r="P324" i="1"/>
  <c r="F333" i="1"/>
  <c r="AJ604" i="1"/>
  <c r="W616" i="1"/>
  <c r="AZ685" i="1"/>
  <c r="CI648" i="1"/>
  <c r="CY177" i="1"/>
  <c r="X177" i="1" s="1"/>
  <c r="CZ177" i="1"/>
  <c r="Y177" i="1" s="1"/>
  <c r="CP194" i="1"/>
  <c r="O194" i="1" s="1"/>
  <c r="GM194" i="1" s="1"/>
  <c r="GP194" i="1" s="1"/>
  <c r="BC168" i="1"/>
  <c r="F217" i="1"/>
  <c r="U324" i="1"/>
  <c r="F352" i="1"/>
  <c r="GM287" i="1"/>
  <c r="GP287" i="1" s="1"/>
  <c r="AD374" i="1"/>
  <c r="AF362" i="1"/>
  <c r="S374" i="1"/>
  <c r="CI324" i="1"/>
  <c r="AZ330" i="1"/>
  <c r="F348" i="1"/>
  <c r="AT324" i="1"/>
  <c r="CP515" i="1"/>
  <c r="O515" i="1" s="1"/>
  <c r="AJ534" i="1"/>
  <c r="GM614" i="1"/>
  <c r="GP614" i="1" s="1"/>
  <c r="GM667" i="1"/>
  <c r="GP667" i="1" s="1"/>
  <c r="AO509" i="1"/>
  <c r="F538" i="1"/>
  <c r="AO715" i="1"/>
  <c r="AD685" i="1"/>
  <c r="AI604" i="1"/>
  <c r="V616" i="1"/>
  <c r="CH685" i="1"/>
  <c r="P685" i="1"/>
  <c r="AC648" i="1"/>
  <c r="CE685" i="1"/>
  <c r="CF685" i="1"/>
  <c r="GM88" i="1"/>
  <c r="GP88" i="1" s="1"/>
  <c r="CY48" i="1"/>
  <c r="X48" i="1" s="1"/>
  <c r="CZ48" i="1"/>
  <c r="Y48" i="1" s="1"/>
  <c r="AH86" i="1"/>
  <c r="U92" i="1"/>
  <c r="F117" i="1"/>
  <c r="BD86" i="1"/>
  <c r="BD231" i="1"/>
  <c r="CY130" i="1"/>
  <c r="X130" i="1" s="1"/>
  <c r="CZ130" i="1"/>
  <c r="Y130" i="1" s="1"/>
  <c r="F109" i="1"/>
  <c r="AS86" i="1"/>
  <c r="BC86" i="1"/>
  <c r="F108" i="1"/>
  <c r="BC231" i="1"/>
  <c r="CY269" i="1"/>
  <c r="X269" i="1" s="1"/>
  <c r="CZ269" i="1"/>
  <c r="Y269" i="1" s="1"/>
  <c r="CY192" i="1"/>
  <c r="X192" i="1" s="1"/>
  <c r="CZ192" i="1"/>
  <c r="Y192" i="1" s="1"/>
  <c r="CY368" i="1"/>
  <c r="X368" i="1" s="1"/>
  <c r="CZ368" i="1"/>
  <c r="Y368" i="1" s="1"/>
  <c r="CG324" i="1"/>
  <c r="AX330" i="1"/>
  <c r="AT566" i="1"/>
  <c r="F590" i="1"/>
  <c r="CP368" i="1"/>
  <c r="O368" i="1" s="1"/>
  <c r="GM368" i="1" s="1"/>
  <c r="GP368" i="1" s="1"/>
  <c r="V362" i="1"/>
  <c r="F397" i="1"/>
  <c r="T324" i="1"/>
  <c r="F351" i="1"/>
  <c r="CP512" i="1"/>
  <c r="O512" i="1" s="1"/>
  <c r="CE374" i="1"/>
  <c r="CF374" i="1"/>
  <c r="AC362" i="1"/>
  <c r="P374" i="1"/>
  <c r="CH374" i="1"/>
  <c r="AX534" i="1"/>
  <c r="CG509" i="1"/>
  <c r="CP531" i="1"/>
  <c r="O531" i="1" s="1"/>
  <c r="GM531" i="1" s="1"/>
  <c r="GP531" i="1" s="1"/>
  <c r="CP569" i="1"/>
  <c r="O569" i="1" s="1"/>
  <c r="AC572" i="1"/>
  <c r="GM655" i="1"/>
  <c r="GP655" i="1" s="1"/>
  <c r="GM680" i="1"/>
  <c r="GP680" i="1" s="1"/>
  <c r="CY658" i="1"/>
  <c r="X658" i="1" s="1"/>
  <c r="CZ658" i="1"/>
  <c r="Y658" i="1" s="1"/>
  <c r="AD201" i="1"/>
  <c r="AT54" i="1"/>
  <c r="CC30" i="1"/>
  <c r="CY180" i="1"/>
  <c r="X180" i="1" s="1"/>
  <c r="CZ180" i="1"/>
  <c r="Y180" i="1" s="1"/>
  <c r="CY187" i="1"/>
  <c r="X187" i="1" s="1"/>
  <c r="CZ187" i="1"/>
  <c r="Y187" i="1" s="1"/>
  <c r="CP40" i="1"/>
  <c r="O40" i="1" s="1"/>
  <c r="CY132" i="1"/>
  <c r="X132" i="1" s="1"/>
  <c r="GM132" i="1" s="1"/>
  <c r="GP132" i="1" s="1"/>
  <c r="CZ132" i="1"/>
  <c r="Y132" i="1" s="1"/>
  <c r="AI86" i="1"/>
  <c r="V92" i="1"/>
  <c r="CP284" i="1"/>
  <c r="O284" i="1" s="1"/>
  <c r="GM284" i="1" s="1"/>
  <c r="GP284" i="1" s="1"/>
  <c r="AS292" i="1"/>
  <c r="CB267" i="1"/>
  <c r="CZ433" i="1"/>
  <c r="Y433" i="1" s="1"/>
  <c r="CY433" i="1"/>
  <c r="X433" i="1" s="1"/>
  <c r="AH534" i="1"/>
  <c r="AC534" i="1"/>
  <c r="W362" i="1"/>
  <c r="F398" i="1"/>
  <c r="GM524" i="1"/>
  <c r="GP524" i="1" s="1"/>
  <c r="CC168" i="1"/>
  <c r="AT201" i="1"/>
  <c r="AS54" i="1"/>
  <c r="CB30" i="1"/>
  <c r="GM34" i="1"/>
  <c r="AH201" i="1"/>
  <c r="CP36" i="1"/>
  <c r="O36" i="1" s="1"/>
  <c r="BA136" i="1"/>
  <c r="CJ124" i="1"/>
  <c r="F112" i="1"/>
  <c r="BA86" i="1"/>
  <c r="F146" i="1"/>
  <c r="AQ124" i="1"/>
  <c r="P136" i="1"/>
  <c r="AC124" i="1"/>
  <c r="CE136" i="1"/>
  <c r="CF136" i="1"/>
  <c r="CH136" i="1"/>
  <c r="AC292" i="1"/>
  <c r="AO168" i="1"/>
  <c r="F205" i="1"/>
  <c r="BB324" i="1"/>
  <c r="F343" i="1"/>
  <c r="BB473" i="1"/>
  <c r="BC324" i="1"/>
  <c r="F346" i="1"/>
  <c r="BC473" i="1"/>
  <c r="CP269" i="1"/>
  <c r="O269" i="1" s="1"/>
  <c r="AF443" i="1"/>
  <c r="CY367" i="1"/>
  <c r="X367" i="1" s="1"/>
  <c r="CZ367" i="1"/>
  <c r="Y367" i="1" s="1"/>
  <c r="F302" i="1"/>
  <c r="AQ267" i="1"/>
  <c r="CY414" i="1"/>
  <c r="X414" i="1" s="1"/>
  <c r="CZ414" i="1"/>
  <c r="Y414" i="1" s="1"/>
  <c r="CY523" i="1"/>
  <c r="X523" i="1" s="1"/>
  <c r="CZ523" i="1"/>
  <c r="Y523" i="1" s="1"/>
  <c r="GM523" i="1" s="1"/>
  <c r="GP523" i="1" s="1"/>
  <c r="CP522" i="1"/>
  <c r="O522" i="1" s="1"/>
  <c r="GM430" i="1"/>
  <c r="GP430" i="1" s="1"/>
  <c r="F585" i="1"/>
  <c r="BB566" i="1"/>
  <c r="BB715" i="1"/>
  <c r="BD648" i="1"/>
  <c r="F710" i="1"/>
  <c r="GK651" i="1"/>
  <c r="GM651" i="1" s="1"/>
  <c r="AE685" i="1"/>
  <c r="CY657" i="1"/>
  <c r="X657" i="1" s="1"/>
  <c r="CZ657" i="1"/>
  <c r="Y657" i="1" s="1"/>
  <c r="F596" i="1"/>
  <c r="W566" i="1"/>
  <c r="CY670" i="1"/>
  <c r="X670" i="1" s="1"/>
  <c r="CZ670" i="1"/>
  <c r="Y670" i="1" s="1"/>
  <c r="Y572" i="1"/>
  <c r="AL566" i="1"/>
  <c r="CY673" i="1"/>
  <c r="X673" i="1" s="1"/>
  <c r="CZ673" i="1"/>
  <c r="Y673" i="1" s="1"/>
  <c r="GM666" i="1"/>
  <c r="GP666" i="1" s="1"/>
  <c r="GM682" i="1"/>
  <c r="GP682" i="1" s="1"/>
  <c r="CZ175" i="1"/>
  <c r="Y175" i="1" s="1"/>
  <c r="CY175" i="1"/>
  <c r="X175" i="1" s="1"/>
  <c r="AF201" i="1"/>
  <c r="CZ128" i="1"/>
  <c r="Y128" i="1" s="1"/>
  <c r="CY128" i="1"/>
  <c r="X128" i="1" s="1"/>
  <c r="GM128" i="1" s="1"/>
  <c r="GP128" i="1" s="1"/>
  <c r="BZ168" i="1"/>
  <c r="AQ201" i="1"/>
  <c r="CY276" i="1"/>
  <c r="X276" i="1" s="1"/>
  <c r="CZ276" i="1"/>
  <c r="Y276" i="1" s="1"/>
  <c r="F157" i="1"/>
  <c r="T124" i="1"/>
  <c r="AF54" i="1"/>
  <c r="GM133" i="1"/>
  <c r="GP133" i="1" s="1"/>
  <c r="CP90" i="1"/>
  <c r="O90" i="1" s="1"/>
  <c r="GM90" i="1" s="1"/>
  <c r="GP90" i="1" s="1"/>
  <c r="AB136" i="1"/>
  <c r="AG292" i="1"/>
  <c r="AS374" i="1"/>
  <c r="CB362" i="1"/>
  <c r="GM412" i="1"/>
  <c r="GP412" i="1" s="1"/>
  <c r="AL324" i="1"/>
  <c r="Y330" i="1"/>
  <c r="F595" i="1"/>
  <c r="V566" i="1"/>
  <c r="CP657" i="1"/>
  <c r="O657" i="1" s="1"/>
  <c r="X572" i="1"/>
  <c r="AK566" i="1"/>
  <c r="AF685" i="1"/>
  <c r="GM668" i="1"/>
  <c r="GP668" i="1" s="1"/>
  <c r="CP658" i="1"/>
  <c r="O658" i="1" s="1"/>
  <c r="AI201" i="1"/>
  <c r="AH292" i="1"/>
  <c r="AT292" i="1"/>
  <c r="CC267" i="1"/>
  <c r="BB168" i="1"/>
  <c r="F214" i="1"/>
  <c r="GM186" i="1"/>
  <c r="GP186" i="1" s="1"/>
  <c r="GM50" i="1"/>
  <c r="GP50" i="1" s="1"/>
  <c r="CY51" i="1"/>
  <c r="X51" i="1" s="1"/>
  <c r="CZ51" i="1"/>
  <c r="Y51" i="1" s="1"/>
  <c r="GM38" i="1"/>
  <c r="GP38" i="1" s="1"/>
  <c r="AO30" i="1"/>
  <c r="F58" i="1"/>
  <c r="AO231" i="1"/>
  <c r="BB86" i="1"/>
  <c r="BB231" i="1"/>
  <c r="F105" i="1"/>
  <c r="AG201" i="1"/>
  <c r="CY126" i="1"/>
  <c r="X126" i="1" s="1"/>
  <c r="CZ126" i="1"/>
  <c r="Y126" i="1" s="1"/>
  <c r="GM176" i="1"/>
  <c r="GP176" i="1" s="1"/>
  <c r="GM279" i="1"/>
  <c r="GP279" i="1" s="1"/>
  <c r="GM271" i="1"/>
  <c r="BB362" i="1"/>
  <c r="F387" i="1"/>
  <c r="GM409" i="1"/>
  <c r="AO362" i="1"/>
  <c r="F378" i="1"/>
  <c r="CP415" i="1"/>
  <c r="O415" i="1" s="1"/>
  <c r="F384" i="1"/>
  <c r="AQ362" i="1"/>
  <c r="CP526" i="1"/>
  <c r="O526" i="1" s="1"/>
  <c r="GM526" i="1" s="1"/>
  <c r="GP526" i="1" s="1"/>
  <c r="CY431" i="1"/>
  <c r="X431" i="1" s="1"/>
  <c r="CZ431" i="1"/>
  <c r="Y431" i="1" s="1"/>
  <c r="X330" i="1"/>
  <c r="CI443" i="1"/>
  <c r="AQ616" i="1"/>
  <c r="CG616" i="1"/>
  <c r="BZ604" i="1"/>
  <c r="GM529" i="1"/>
  <c r="GP529" i="1" s="1"/>
  <c r="AG604" i="1"/>
  <c r="T616" i="1"/>
  <c r="AF566" i="1"/>
  <c r="S572" i="1"/>
  <c r="GM679" i="1"/>
  <c r="GP679" i="1" s="1"/>
  <c r="K801" i="7" l="1"/>
  <c r="P801" i="7"/>
  <c r="P610" i="7"/>
  <c r="K610" i="7"/>
  <c r="P421" i="8"/>
  <c r="L421" i="8"/>
  <c r="P415" i="7"/>
  <c r="K415" i="7"/>
  <c r="K659" i="7"/>
  <c r="P659" i="7"/>
  <c r="L552" i="8"/>
  <c r="P552" i="8"/>
  <c r="P642" i="7"/>
  <c r="K642" i="7"/>
  <c r="P43" i="7"/>
  <c r="K43" i="7"/>
  <c r="L190" i="8"/>
  <c r="P190" i="8"/>
  <c r="P184" i="7"/>
  <c r="K184" i="7"/>
  <c r="K546" i="7"/>
  <c r="P546" i="7"/>
  <c r="P637" i="8"/>
  <c r="L637" i="8"/>
  <c r="I391" i="7"/>
  <c r="K270" i="7"/>
  <c r="P270" i="7"/>
  <c r="P719" i="7"/>
  <c r="K719" i="7"/>
  <c r="J625" i="7"/>
  <c r="K631" i="8"/>
  <c r="J255" i="8"/>
  <c r="I859" i="7"/>
  <c r="J616" i="8"/>
  <c r="I408" i="7"/>
  <c r="R505" i="7"/>
  <c r="J509" i="7" s="1"/>
  <c r="I512" i="7" s="1"/>
  <c r="R511" i="8"/>
  <c r="K515" i="8" s="1"/>
  <c r="GM422" i="1"/>
  <c r="GP422" i="1" s="1"/>
  <c r="GK39" i="1"/>
  <c r="J69" i="7"/>
  <c r="K75" i="8"/>
  <c r="R87" i="7"/>
  <c r="J93" i="7" s="1"/>
  <c r="R93" i="8"/>
  <c r="K99" i="8" s="1"/>
  <c r="GM611" i="1"/>
  <c r="GP611" i="1" s="1"/>
  <c r="P809" i="7"/>
  <c r="K809" i="7"/>
  <c r="I249" i="7"/>
  <c r="R44" i="7"/>
  <c r="J50" i="7" s="1"/>
  <c r="R50" i="8"/>
  <c r="K56" i="8" s="1"/>
  <c r="J60" i="8" s="1"/>
  <c r="T858" i="8"/>
  <c r="K863" i="8" s="1"/>
  <c r="T852" i="7"/>
  <c r="J857" i="7" s="1"/>
  <c r="GM183" i="1"/>
  <c r="GP183" i="1" s="1"/>
  <c r="R156" i="7"/>
  <c r="J159" i="7" s="1"/>
  <c r="I162" i="7" s="1"/>
  <c r="R162" i="8"/>
  <c r="K165" i="8" s="1"/>
  <c r="J168" i="8" s="1"/>
  <c r="AK136" i="1"/>
  <c r="AL292" i="1"/>
  <c r="AL267" i="1" s="1"/>
  <c r="T416" i="7"/>
  <c r="J423" i="7" s="1"/>
  <c r="T422" i="8"/>
  <c r="K429" i="8" s="1"/>
  <c r="Q572" i="1"/>
  <c r="U443" i="1"/>
  <c r="R252" i="7"/>
  <c r="J258" i="7" s="1"/>
  <c r="R258" i="8"/>
  <c r="K264" i="8" s="1"/>
  <c r="J268" i="8" s="1"/>
  <c r="I373" i="7"/>
  <c r="J458" i="8"/>
  <c r="GK36" i="1"/>
  <c r="J59" i="7"/>
  <c r="K65" i="8"/>
  <c r="J361" i="8"/>
  <c r="T200" i="7"/>
  <c r="J205" i="7" s="1"/>
  <c r="T206" i="8"/>
  <c r="K211" i="8" s="1"/>
  <c r="AB292" i="1"/>
  <c r="GK35" i="1"/>
  <c r="J48" i="7"/>
  <c r="K54" i="8"/>
  <c r="J510" i="8"/>
  <c r="T521" i="7"/>
  <c r="J526" i="7" s="1"/>
  <c r="T527" i="8"/>
  <c r="K532" i="8" s="1"/>
  <c r="P872" i="7"/>
  <c r="K872" i="7"/>
  <c r="I298" i="7"/>
  <c r="GM195" i="1"/>
  <c r="GP195" i="1" s="1"/>
  <c r="J807" i="8"/>
  <c r="GM198" i="1"/>
  <c r="GP198" i="1" s="1"/>
  <c r="I667" i="7"/>
  <c r="GK522" i="1"/>
  <c r="GM522" i="1" s="1"/>
  <c r="GP522" i="1" s="1"/>
  <c r="J690" i="7"/>
  <c r="K696" i="8"/>
  <c r="GM414" i="1"/>
  <c r="GP414" i="1" s="1"/>
  <c r="GK611" i="1"/>
  <c r="J772" i="7"/>
  <c r="K778" i="8"/>
  <c r="J849" i="8"/>
  <c r="T547" i="7"/>
  <c r="J552" i="7" s="1"/>
  <c r="I554" i="7" s="1"/>
  <c r="T553" i="8"/>
  <c r="K558" i="8" s="1"/>
  <c r="I199" i="7"/>
  <c r="R521" i="7"/>
  <c r="J525" i="7" s="1"/>
  <c r="R527" i="8"/>
  <c r="K531" i="8" s="1"/>
  <c r="J878" i="8"/>
  <c r="J691" i="8"/>
  <c r="J397" i="8"/>
  <c r="GM424" i="1"/>
  <c r="GP424" i="1" s="1"/>
  <c r="R557" i="7"/>
  <c r="J563" i="7" s="1"/>
  <c r="R563" i="8"/>
  <c r="K569" i="8" s="1"/>
  <c r="J573" i="8" s="1"/>
  <c r="I582" i="7"/>
  <c r="R163" i="7"/>
  <c r="J169" i="7" s="1"/>
  <c r="R169" i="8"/>
  <c r="K175" i="8" s="1"/>
  <c r="P49" i="8"/>
  <c r="L49" i="8"/>
  <c r="R643" i="7"/>
  <c r="J646" i="7" s="1"/>
  <c r="R649" i="8"/>
  <c r="K652" i="8" s="1"/>
  <c r="T252" i="7"/>
  <c r="J259" i="7" s="1"/>
  <c r="T258" i="8"/>
  <c r="K265" i="8" s="1"/>
  <c r="AB616" i="1"/>
  <c r="T568" i="7"/>
  <c r="J573" i="7" s="1"/>
  <c r="T574" i="8"/>
  <c r="K579" i="8" s="1"/>
  <c r="GM48" i="1"/>
  <c r="GP48" i="1" s="1"/>
  <c r="AK92" i="1"/>
  <c r="AK86" i="1" s="1"/>
  <c r="R142" i="7"/>
  <c r="J147" i="7" s="1"/>
  <c r="R148" i="8"/>
  <c r="K153" i="8" s="1"/>
  <c r="Y616" i="1"/>
  <c r="GM177" i="1"/>
  <c r="GP177" i="1" s="1"/>
  <c r="T826" i="7"/>
  <c r="J831" i="7" s="1"/>
  <c r="T832" i="8"/>
  <c r="K837" i="8" s="1"/>
  <c r="J839" i="8" s="1"/>
  <c r="I262" i="7"/>
  <c r="L333" i="8"/>
  <c r="P333" i="8"/>
  <c r="J648" i="8"/>
  <c r="AH604" i="1"/>
  <c r="U616" i="1"/>
  <c r="I843" i="7"/>
  <c r="R891" i="7"/>
  <c r="J895" i="7" s="1"/>
  <c r="R897" i="8"/>
  <c r="K901" i="8" s="1"/>
  <c r="J912" i="8"/>
  <c r="P414" i="8"/>
  <c r="L414" i="8"/>
  <c r="GK272" i="1"/>
  <c r="GM272" i="1" s="1"/>
  <c r="GP272" i="1" s="1"/>
  <c r="J332" i="7"/>
  <c r="K338" i="8"/>
  <c r="J736" i="8"/>
  <c r="J534" i="8"/>
  <c r="I685" i="7"/>
  <c r="T44" i="7"/>
  <c r="J51" i="7" s="1"/>
  <c r="I54" i="7" s="1"/>
  <c r="T50" i="8"/>
  <c r="K57" i="8" s="1"/>
  <c r="AE330" i="1"/>
  <c r="GK327" i="1"/>
  <c r="GM327" i="1" s="1"/>
  <c r="GK44" i="1"/>
  <c r="GM44" i="1" s="1"/>
  <c r="GP44" i="1" s="1"/>
  <c r="J109" i="7"/>
  <c r="K115" i="8"/>
  <c r="GK280" i="1"/>
  <c r="J386" i="7"/>
  <c r="K392" i="8"/>
  <c r="J815" i="8"/>
  <c r="J588" i="8"/>
  <c r="I744" i="7"/>
  <c r="T163" i="7"/>
  <c r="J170" i="7" s="1"/>
  <c r="T169" i="8"/>
  <c r="K176" i="8" s="1"/>
  <c r="J179" i="8" s="1"/>
  <c r="T585" i="7"/>
  <c r="J590" i="7" s="1"/>
  <c r="I592" i="7" s="1"/>
  <c r="T591" i="8"/>
  <c r="K596" i="8" s="1"/>
  <c r="T643" i="7"/>
  <c r="J647" i="7" s="1"/>
  <c r="T649" i="8"/>
  <c r="K653" i="8" s="1"/>
  <c r="J655" i="8" s="1"/>
  <c r="R416" i="7"/>
  <c r="J422" i="7" s="1"/>
  <c r="R422" i="8"/>
  <c r="K428" i="8" s="1"/>
  <c r="GK365" i="1"/>
  <c r="GM365" i="1" s="1"/>
  <c r="AE374" i="1"/>
  <c r="T392" i="7"/>
  <c r="J396" i="7" s="1"/>
  <c r="I398" i="7" s="1"/>
  <c r="T398" i="8"/>
  <c r="K402" i="8" s="1"/>
  <c r="T356" i="7"/>
  <c r="J361" i="7" s="1"/>
  <c r="T362" i="8"/>
  <c r="K367" i="8" s="1"/>
  <c r="AL92" i="1"/>
  <c r="T142" i="7"/>
  <c r="J148" i="7" s="1"/>
  <c r="I150" i="7" s="1"/>
  <c r="T148" i="8"/>
  <c r="K154" i="8" s="1"/>
  <c r="GM276" i="1"/>
  <c r="GP276" i="1" s="1"/>
  <c r="I452" i="7"/>
  <c r="T891" i="7"/>
  <c r="J896" i="7" s="1"/>
  <c r="T897" i="8"/>
  <c r="K902" i="8" s="1"/>
  <c r="R356" i="7"/>
  <c r="J360" i="7" s="1"/>
  <c r="I363" i="7" s="1"/>
  <c r="R362" i="8"/>
  <c r="K366" i="8" s="1"/>
  <c r="J369" i="8" s="1"/>
  <c r="GM431" i="1"/>
  <c r="GP431" i="1" s="1"/>
  <c r="Q92" i="1"/>
  <c r="T216" i="7"/>
  <c r="J221" i="7" s="1"/>
  <c r="T222" i="8"/>
  <c r="K227" i="8" s="1"/>
  <c r="T576" i="7"/>
  <c r="J580" i="7" s="1"/>
  <c r="T582" i="8"/>
  <c r="K586" i="8" s="1"/>
  <c r="GM660" i="1"/>
  <c r="GP660" i="1" s="1"/>
  <c r="R826" i="7"/>
  <c r="J830" i="7" s="1"/>
  <c r="I833" i="7" s="1"/>
  <c r="R832" i="8"/>
  <c r="K836" i="8" s="1"/>
  <c r="AK443" i="1"/>
  <c r="AK406" i="1" s="1"/>
  <c r="R513" i="7"/>
  <c r="J517" i="7" s="1"/>
  <c r="R519" i="8"/>
  <c r="K523" i="8" s="1"/>
  <c r="J526" i="8" s="1"/>
  <c r="V54" i="1"/>
  <c r="V30" i="1" s="1"/>
  <c r="K327" i="7"/>
  <c r="P327" i="7"/>
  <c r="GM285" i="1"/>
  <c r="GP285" i="1" s="1"/>
  <c r="R720" i="7"/>
  <c r="J726" i="7" s="1"/>
  <c r="I730" i="7" s="1"/>
  <c r="R726" i="8"/>
  <c r="K732" i="8" s="1"/>
  <c r="J205" i="8"/>
  <c r="GK514" i="1"/>
  <c r="GM514" i="1" s="1"/>
  <c r="J636" i="7"/>
  <c r="K642" i="8"/>
  <c r="J761" i="7"/>
  <c r="K767" i="8"/>
  <c r="GK609" i="1"/>
  <c r="GM609" i="1" s="1"/>
  <c r="GP609" i="1" s="1"/>
  <c r="R65" i="7"/>
  <c r="J71" i="7" s="1"/>
  <c r="R71" i="8"/>
  <c r="K77" i="8" s="1"/>
  <c r="J81" i="8" s="1"/>
  <c r="J446" i="8"/>
  <c r="I906" i="7"/>
  <c r="GK288" i="1"/>
  <c r="GM288" i="1" s="1"/>
  <c r="GP288" i="1" s="1"/>
  <c r="J420" i="7"/>
  <c r="K426" i="8"/>
  <c r="J480" i="8"/>
  <c r="GM280" i="1"/>
  <c r="GP280" i="1" s="1"/>
  <c r="I567" i="7"/>
  <c r="GK277" i="1"/>
  <c r="GM277" i="1" s="1"/>
  <c r="J368" i="7"/>
  <c r="K374" i="8"/>
  <c r="R774" i="8"/>
  <c r="K780" i="8" s="1"/>
  <c r="R768" i="7"/>
  <c r="J774" i="7" s="1"/>
  <c r="T887" i="8"/>
  <c r="K892" i="8" s="1"/>
  <c r="T881" i="7"/>
  <c r="J886" i="7" s="1"/>
  <c r="AE616" i="1"/>
  <c r="AE604" i="1" s="1"/>
  <c r="R216" i="7"/>
  <c r="J220" i="7" s="1"/>
  <c r="R222" i="8"/>
  <c r="K226" i="8" s="1"/>
  <c r="J229" i="8" s="1"/>
  <c r="AK534" i="1"/>
  <c r="R576" i="7"/>
  <c r="J579" i="7" s="1"/>
  <c r="R582" i="8"/>
  <c r="K585" i="8" s="1"/>
  <c r="AL534" i="1"/>
  <c r="T686" i="7"/>
  <c r="J692" i="7" s="1"/>
  <c r="T692" i="8"/>
  <c r="K698" i="8" s="1"/>
  <c r="AL443" i="1"/>
  <c r="T513" i="7"/>
  <c r="J518" i="7" s="1"/>
  <c r="I520" i="7" s="1"/>
  <c r="T519" i="8"/>
  <c r="K524" i="8" s="1"/>
  <c r="V443" i="1"/>
  <c r="V473" i="1" s="1"/>
  <c r="L286" i="8"/>
  <c r="P286" i="8"/>
  <c r="R568" i="7"/>
  <c r="J572" i="7" s="1"/>
  <c r="I575" i="7" s="1"/>
  <c r="R574" i="8"/>
  <c r="K578" i="8" s="1"/>
  <c r="J581" i="8" s="1"/>
  <c r="J750" i="8"/>
  <c r="GK41" i="1"/>
  <c r="J91" i="7"/>
  <c r="K97" i="8"/>
  <c r="J502" i="8"/>
  <c r="I898" i="7"/>
  <c r="GK129" i="1"/>
  <c r="GM129" i="1" s="1"/>
  <c r="GP129" i="1" s="1"/>
  <c r="J167" i="7"/>
  <c r="K173" i="8"/>
  <c r="I440" i="7"/>
  <c r="R224" i="7"/>
  <c r="J228" i="7" s="1"/>
  <c r="R230" i="8"/>
  <c r="K234" i="8" s="1"/>
  <c r="J683" i="8"/>
  <c r="I695" i="7"/>
  <c r="GK530" i="1"/>
  <c r="GM530" i="1" s="1"/>
  <c r="GP530" i="1" s="1"/>
  <c r="J724" i="7"/>
  <c r="K730" i="8"/>
  <c r="T482" i="7"/>
  <c r="J486" i="7" s="1"/>
  <c r="I488" i="7" s="1"/>
  <c r="T488" i="8"/>
  <c r="K492" i="8" s="1"/>
  <c r="J494" i="8" s="1"/>
  <c r="I474" i="7"/>
  <c r="GM35" i="1"/>
  <c r="GP35" i="1" s="1"/>
  <c r="F593" i="1"/>
  <c r="T566" i="1"/>
  <c r="R374" i="7"/>
  <c r="J378" i="7" s="1"/>
  <c r="I381" i="7" s="1"/>
  <c r="R380" i="8"/>
  <c r="K384" i="8" s="1"/>
  <c r="I173" i="7"/>
  <c r="J762" i="8"/>
  <c r="P120" i="8"/>
  <c r="L120" i="8"/>
  <c r="T299" i="7"/>
  <c r="J304" i="7" s="1"/>
  <c r="T305" i="8"/>
  <c r="K310" i="8" s="1"/>
  <c r="J312" i="8" s="1"/>
  <c r="AK374" i="1"/>
  <c r="R453" i="7"/>
  <c r="J459" i="7" s="1"/>
  <c r="R459" i="8"/>
  <c r="K465" i="8" s="1"/>
  <c r="GM40" i="1"/>
  <c r="GP40" i="1" s="1"/>
  <c r="GM130" i="1"/>
  <c r="GP130" i="1" s="1"/>
  <c r="AL54" i="1"/>
  <c r="AL30" i="1" s="1"/>
  <c r="T55" i="7"/>
  <c r="J61" i="7" s="1"/>
  <c r="T61" i="8"/>
  <c r="K67" i="8" s="1"/>
  <c r="T328" i="7"/>
  <c r="J335" i="7" s="1"/>
  <c r="T334" i="8"/>
  <c r="K341" i="8" s="1"/>
  <c r="T696" i="7"/>
  <c r="J700" i="7" s="1"/>
  <c r="T702" i="8"/>
  <c r="K706" i="8" s="1"/>
  <c r="J708" i="8" s="1"/>
  <c r="T443" i="1"/>
  <c r="P127" i="8"/>
  <c r="L127" i="8"/>
  <c r="R786" i="7"/>
  <c r="J790" i="7" s="1"/>
  <c r="R792" i="8"/>
  <c r="K796" i="8" s="1"/>
  <c r="J304" i="8"/>
  <c r="P665" i="8"/>
  <c r="L665" i="8"/>
  <c r="I600" i="7"/>
  <c r="GK519" i="1"/>
  <c r="GM519" i="1" s="1"/>
  <c r="GP519" i="1" s="1"/>
  <c r="J672" i="7"/>
  <c r="K678" i="8"/>
  <c r="I355" i="7"/>
  <c r="AD324" i="1"/>
  <c r="Q330" i="1"/>
  <c r="I114" i="7"/>
  <c r="T65" i="7"/>
  <c r="J72" i="7" s="1"/>
  <c r="I75" i="7" s="1"/>
  <c r="T71" i="8"/>
  <c r="K78" i="8" s="1"/>
  <c r="R844" i="7"/>
  <c r="J848" i="7" s="1"/>
  <c r="I851" i="7" s="1"/>
  <c r="R850" i="8"/>
  <c r="K854" i="8" s="1"/>
  <c r="J857" i="8" s="1"/>
  <c r="J432" i="8"/>
  <c r="I496" i="7"/>
  <c r="T763" i="8"/>
  <c r="K770" i="8" s="1"/>
  <c r="T757" i="7"/>
  <c r="J764" i="7" s="1"/>
  <c r="J276" i="8"/>
  <c r="I649" i="7"/>
  <c r="GM39" i="1"/>
  <c r="GP39" i="1" s="1"/>
  <c r="AK54" i="1"/>
  <c r="AK30" i="1" s="1"/>
  <c r="R55" i="7"/>
  <c r="J60" i="7" s="1"/>
  <c r="I64" i="7" s="1"/>
  <c r="R61" i="8"/>
  <c r="K66" i="8" s="1"/>
  <c r="J70" i="8" s="1"/>
  <c r="P135" i="8"/>
  <c r="L135" i="8"/>
  <c r="GK40" i="1"/>
  <c r="J80" i="7"/>
  <c r="K86" i="8"/>
  <c r="T844" i="7"/>
  <c r="J849" i="7" s="1"/>
  <c r="T850" i="8"/>
  <c r="K855" i="8" s="1"/>
  <c r="GM36" i="1"/>
  <c r="GP36" i="1" s="1"/>
  <c r="GM512" i="1"/>
  <c r="GP512" i="1" s="1"/>
  <c r="AE201" i="1"/>
  <c r="R201" i="1" s="1"/>
  <c r="AK292" i="1"/>
  <c r="R328" i="7"/>
  <c r="J334" i="7" s="1"/>
  <c r="I338" i="7" s="1"/>
  <c r="R334" i="8"/>
  <c r="K340" i="8" s="1"/>
  <c r="J344" i="8" s="1"/>
  <c r="T98" i="7"/>
  <c r="J102" i="7" s="1"/>
  <c r="T104" i="8"/>
  <c r="K108" i="8" s="1"/>
  <c r="R696" i="7"/>
  <c r="J699" i="7" s="1"/>
  <c r="I702" i="7" s="1"/>
  <c r="R702" i="8"/>
  <c r="K705" i="8" s="1"/>
  <c r="T339" i="7"/>
  <c r="J343" i="7" s="1"/>
  <c r="T345" i="8"/>
  <c r="K349" i="8" s="1"/>
  <c r="BA292" i="1"/>
  <c r="BA473" i="1" s="1"/>
  <c r="T87" i="7"/>
  <c r="J94" i="7" s="1"/>
  <c r="T93" i="8"/>
  <c r="K100" i="8" s="1"/>
  <c r="J103" i="8" s="1"/>
  <c r="K121" i="7"/>
  <c r="P121" i="7"/>
  <c r="I280" i="7"/>
  <c r="T792" i="8"/>
  <c r="K797" i="8" s="1"/>
  <c r="T786" i="7"/>
  <c r="J791" i="7" s="1"/>
  <c r="L142" i="8"/>
  <c r="P142" i="8"/>
  <c r="I677" i="7"/>
  <c r="J387" i="8"/>
  <c r="J469" i="8"/>
  <c r="J718" i="8"/>
  <c r="I426" i="7"/>
  <c r="GK131" i="1"/>
  <c r="GM131" i="1" s="1"/>
  <c r="GP131" i="1" s="1"/>
  <c r="J178" i="7"/>
  <c r="K184" i="8"/>
  <c r="T224" i="7"/>
  <c r="J229" i="7" s="1"/>
  <c r="I231" i="7" s="1"/>
  <c r="T230" i="8"/>
  <c r="K235" i="8" s="1"/>
  <c r="R76" i="7"/>
  <c r="J82" i="7" s="1"/>
  <c r="I86" i="7" s="1"/>
  <c r="R82" i="8"/>
  <c r="K88" i="8" s="1"/>
  <c r="J92" i="8" s="1"/>
  <c r="GK369" i="1"/>
  <c r="GM369" i="1" s="1"/>
  <c r="GP369" i="1" s="1"/>
  <c r="J468" i="7"/>
  <c r="K474" i="8"/>
  <c r="T915" i="8"/>
  <c r="K920" i="8" s="1"/>
  <c r="J922" i="8" s="1"/>
  <c r="T909" i="7"/>
  <c r="J914" i="7" s="1"/>
  <c r="I916" i="7" s="1"/>
  <c r="I817" i="7"/>
  <c r="R299" i="7"/>
  <c r="J303" i="7" s="1"/>
  <c r="R305" i="8"/>
  <c r="K309" i="8" s="1"/>
  <c r="J110" i="8"/>
  <c r="T824" i="8"/>
  <c r="K829" i="8" s="1"/>
  <c r="T818" i="7"/>
  <c r="J823" i="7" s="1"/>
  <c r="I306" i="7"/>
  <c r="R234" i="7"/>
  <c r="J238" i="7" s="1"/>
  <c r="R240" i="8"/>
  <c r="K244" i="8" s="1"/>
  <c r="GM515" i="1"/>
  <c r="GP515" i="1" s="1"/>
  <c r="GM670" i="1"/>
  <c r="GP670" i="1" s="1"/>
  <c r="R887" i="8"/>
  <c r="K891" i="8" s="1"/>
  <c r="R881" i="7"/>
  <c r="J885" i="7" s="1"/>
  <c r="I888" i="7" s="1"/>
  <c r="T453" i="7"/>
  <c r="J460" i="7" s="1"/>
  <c r="T459" i="8"/>
  <c r="K466" i="8" s="1"/>
  <c r="K129" i="7"/>
  <c r="P129" i="7"/>
  <c r="R547" i="7"/>
  <c r="J551" i="7" s="1"/>
  <c r="R553" i="8"/>
  <c r="K557" i="8" s="1"/>
  <c r="J560" i="8" s="1"/>
  <c r="AE92" i="1"/>
  <c r="GK89" i="1"/>
  <c r="J237" i="8"/>
  <c r="AK616" i="1"/>
  <c r="GM126" i="1"/>
  <c r="GP126" i="1" s="1"/>
  <c r="GM51" i="1"/>
  <c r="GP51" i="1" s="1"/>
  <c r="AL374" i="1"/>
  <c r="AL362" i="1" s="1"/>
  <c r="R98" i="7"/>
  <c r="J101" i="7" s="1"/>
  <c r="R104" i="8"/>
  <c r="K107" i="8" s="1"/>
  <c r="GM527" i="1"/>
  <c r="GP527" i="1" s="1"/>
  <c r="GM273" i="1"/>
  <c r="GP273" i="1" s="1"/>
  <c r="R339" i="7"/>
  <c r="J342" i="7" s="1"/>
  <c r="I345" i="7" s="1"/>
  <c r="R345" i="8"/>
  <c r="K348" i="8" s="1"/>
  <c r="J351" i="8" s="1"/>
  <c r="Q136" i="1"/>
  <c r="I538" i="7"/>
  <c r="GK528" i="1"/>
  <c r="GM528" i="1" s="1"/>
  <c r="GP528" i="1" s="1"/>
  <c r="J707" i="7"/>
  <c r="K713" i="8"/>
  <c r="P756" i="7"/>
  <c r="K756" i="7"/>
  <c r="P136" i="7"/>
  <c r="K136" i="7"/>
  <c r="T768" i="7"/>
  <c r="J775" i="7" s="1"/>
  <c r="T774" i="8"/>
  <c r="K781" i="8" s="1"/>
  <c r="J784" i="8" s="1"/>
  <c r="I504" i="7"/>
  <c r="I463" i="7"/>
  <c r="I712" i="7"/>
  <c r="AH566" i="1"/>
  <c r="U572" i="1"/>
  <c r="R858" i="8"/>
  <c r="K862" i="8" s="1"/>
  <c r="J865" i="8" s="1"/>
  <c r="R852" i="7"/>
  <c r="J856" i="7" s="1"/>
  <c r="J518" i="8"/>
  <c r="I880" i="7"/>
  <c r="GM659" i="1"/>
  <c r="GP659" i="1" s="1"/>
  <c r="I104" i="7"/>
  <c r="R824" i="8"/>
  <c r="K828" i="8" s="1"/>
  <c r="R818" i="7"/>
  <c r="J822" i="7" s="1"/>
  <c r="I825" i="7" s="1"/>
  <c r="J886" i="8"/>
  <c r="F354" i="1"/>
  <c r="W324" i="1"/>
  <c r="L544" i="8"/>
  <c r="P544" i="8"/>
  <c r="R686" i="7"/>
  <c r="J691" i="7" s="1"/>
  <c r="R692" i="8"/>
  <c r="K697" i="8" s="1"/>
  <c r="J701" i="8" s="1"/>
  <c r="L673" i="8"/>
  <c r="P673" i="8"/>
  <c r="L606" i="8"/>
  <c r="P606" i="8"/>
  <c r="J156" i="8"/>
  <c r="I631" i="7"/>
  <c r="GM127" i="1"/>
  <c r="GP127" i="1" s="1"/>
  <c r="CD136" i="1" s="1"/>
  <c r="GM415" i="1"/>
  <c r="GP415" i="1" s="1"/>
  <c r="AK201" i="1"/>
  <c r="R208" i="7"/>
  <c r="J212" i="7" s="1"/>
  <c r="R214" i="8"/>
  <c r="K218" i="8" s="1"/>
  <c r="AL685" i="1"/>
  <c r="AL648" i="1" s="1"/>
  <c r="T810" i="7"/>
  <c r="J815" i="7" s="1"/>
  <c r="T816" i="8"/>
  <c r="K821" i="8" s="1"/>
  <c r="J823" i="8" s="1"/>
  <c r="T281" i="7"/>
  <c r="J286" i="7" s="1"/>
  <c r="T287" i="8"/>
  <c r="K292" i="8" s="1"/>
  <c r="AL201" i="1"/>
  <c r="T208" i="7"/>
  <c r="J213" i="7" s="1"/>
  <c r="I215" i="7" s="1"/>
  <c r="T214" i="8"/>
  <c r="K219" i="8" s="1"/>
  <c r="J221" i="8" s="1"/>
  <c r="AK685" i="1"/>
  <c r="R810" i="7"/>
  <c r="J814" i="7" s="1"/>
  <c r="R816" i="8"/>
  <c r="K820" i="8" s="1"/>
  <c r="GM433" i="1"/>
  <c r="GP433" i="1" s="1"/>
  <c r="R585" i="7"/>
  <c r="J589" i="7" s="1"/>
  <c r="R591" i="8"/>
  <c r="K595" i="8" s="1"/>
  <c r="J598" i="8" s="1"/>
  <c r="GM180" i="1"/>
  <c r="GP180" i="1" s="1"/>
  <c r="T234" i="7"/>
  <c r="J239" i="7" s="1"/>
  <c r="I241" i="7" s="1"/>
  <c r="T240" i="8"/>
  <c r="K245" i="8" s="1"/>
  <c r="GM192" i="1"/>
  <c r="GP192" i="1" s="1"/>
  <c r="R281" i="7"/>
  <c r="J285" i="7" s="1"/>
  <c r="R287" i="8"/>
  <c r="K291" i="8" s="1"/>
  <c r="J294" i="8" s="1"/>
  <c r="GM428" i="1"/>
  <c r="GP428" i="1" s="1"/>
  <c r="GM437" i="1"/>
  <c r="GP437" i="1" s="1"/>
  <c r="AE443" i="1"/>
  <c r="I793" i="7"/>
  <c r="I778" i="7"/>
  <c r="R200" i="7"/>
  <c r="J204" i="7" s="1"/>
  <c r="R206" i="8"/>
  <c r="K210" i="8" s="1"/>
  <c r="J213" i="8" s="1"/>
  <c r="GM41" i="1"/>
  <c r="GP41" i="1" s="1"/>
  <c r="J404" i="8"/>
  <c r="J379" i="8"/>
  <c r="R763" i="8"/>
  <c r="K769" i="8" s="1"/>
  <c r="J773" i="8" s="1"/>
  <c r="R757" i="7"/>
  <c r="J763" i="7" s="1"/>
  <c r="I767" i="7" s="1"/>
  <c r="GM664" i="1"/>
  <c r="GP664" i="1" s="1"/>
  <c r="J725" i="8"/>
  <c r="GP651" i="1"/>
  <c r="Y534" i="1"/>
  <c r="AL509" i="1"/>
  <c r="AK267" i="1"/>
  <c r="X292" i="1"/>
  <c r="Y685" i="1"/>
  <c r="AK648" i="1"/>
  <c r="X685" i="1"/>
  <c r="AK362" i="1"/>
  <c r="X374" i="1"/>
  <c r="GP171" i="1"/>
  <c r="X201" i="1"/>
  <c r="AK168" i="1"/>
  <c r="X54" i="1"/>
  <c r="Y201" i="1"/>
  <c r="AL168" i="1"/>
  <c r="AL406" i="1"/>
  <c r="Y443" i="1"/>
  <c r="AS168" i="1"/>
  <c r="F218" i="1"/>
  <c r="AT362" i="1"/>
  <c r="F392" i="1"/>
  <c r="AF509" i="1"/>
  <c r="S534" i="1"/>
  <c r="BD505" i="1"/>
  <c r="F740" i="1"/>
  <c r="AZ267" i="1"/>
  <c r="F303" i="1"/>
  <c r="AZ473" i="1"/>
  <c r="AX648" i="1"/>
  <c r="F692" i="1"/>
  <c r="R534" i="1"/>
  <c r="AE509" i="1"/>
  <c r="AZ604" i="1"/>
  <c r="F627" i="1"/>
  <c r="AV54" i="1"/>
  <c r="CE30" i="1"/>
  <c r="T509" i="1"/>
  <c r="F555" i="1"/>
  <c r="T715" i="1"/>
  <c r="W267" i="1"/>
  <c r="F316" i="1"/>
  <c r="W473" i="1"/>
  <c r="Q604" i="1"/>
  <c r="F628" i="1"/>
  <c r="AI509" i="1"/>
  <c r="V534" i="1"/>
  <c r="O330" i="1"/>
  <c r="AB324" i="1"/>
  <c r="AX124" i="1"/>
  <c r="F143" i="1"/>
  <c r="Y604" i="1"/>
  <c r="F643" i="1"/>
  <c r="AZ509" i="1"/>
  <c r="F545" i="1"/>
  <c r="AZ715" i="1"/>
  <c r="AO263" i="1"/>
  <c r="F477" i="1"/>
  <c r="O685" i="1"/>
  <c r="AB648" i="1"/>
  <c r="T648" i="1"/>
  <c r="F706" i="1"/>
  <c r="U406" i="1"/>
  <c r="F465" i="1"/>
  <c r="AS362" i="1"/>
  <c r="F391" i="1"/>
  <c r="X92" i="1"/>
  <c r="CA330" i="1"/>
  <c r="GP327" i="1"/>
  <c r="CD330" i="1" s="1"/>
  <c r="F460" i="1"/>
  <c r="AS406" i="1"/>
  <c r="Y124" i="1"/>
  <c r="F163" i="1"/>
  <c r="BA30" i="1"/>
  <c r="F74" i="1"/>
  <c r="BA231" i="1"/>
  <c r="BA648" i="1"/>
  <c r="F705" i="1"/>
  <c r="BB26" i="1"/>
  <c r="F244" i="1"/>
  <c r="BB745" i="1"/>
  <c r="AX566" i="1"/>
  <c r="F579" i="1"/>
  <c r="F299" i="1"/>
  <c r="AX267" i="1"/>
  <c r="T406" i="1"/>
  <c r="F464" i="1"/>
  <c r="AS509" i="1"/>
  <c r="F551" i="1"/>
  <c r="AS715" i="1"/>
  <c r="U362" i="1"/>
  <c r="F396" i="1"/>
  <c r="AZ30" i="1"/>
  <c r="F65" i="1"/>
  <c r="AZ231" i="1"/>
  <c r="F395" i="1"/>
  <c r="T362" i="1"/>
  <c r="S201" i="1"/>
  <c r="AF168" i="1"/>
  <c r="U292" i="1"/>
  <c r="AH267" i="1"/>
  <c r="V201" i="1"/>
  <c r="AI168" i="1"/>
  <c r="CE124" i="1"/>
  <c r="AV136" i="1"/>
  <c r="F115" i="1"/>
  <c r="V86" i="1"/>
  <c r="CE648" i="1"/>
  <c r="AV685" i="1"/>
  <c r="AB362" i="1"/>
  <c r="O374" i="1"/>
  <c r="AY324" i="1"/>
  <c r="F338" i="1"/>
  <c r="CG406" i="1"/>
  <c r="AX443" i="1"/>
  <c r="GP513" i="1"/>
  <c r="S324" i="1"/>
  <c r="F345" i="1"/>
  <c r="U30" i="1"/>
  <c r="F76" i="1"/>
  <c r="AE30" i="1"/>
  <c r="R54" i="1"/>
  <c r="CE292" i="1"/>
  <c r="CF292" i="1"/>
  <c r="P292" i="1"/>
  <c r="CH292" i="1"/>
  <c r="AC267" i="1"/>
  <c r="AT267" i="1"/>
  <c r="F310" i="1"/>
  <c r="AT473" i="1"/>
  <c r="BC26" i="1"/>
  <c r="F247" i="1"/>
  <c r="BC745" i="1"/>
  <c r="GM658" i="1"/>
  <c r="GP658" i="1" s="1"/>
  <c r="AS30" i="1"/>
  <c r="F71" i="1"/>
  <c r="AS231" i="1"/>
  <c r="W534" i="1"/>
  <c r="AJ509" i="1"/>
  <c r="F61" i="1"/>
  <c r="AX30" i="1"/>
  <c r="AX231" i="1"/>
  <c r="F453" i="1"/>
  <c r="AQ406" i="1"/>
  <c r="AB534" i="1"/>
  <c r="F731" i="1"/>
  <c r="BC505" i="1"/>
  <c r="R292" i="1"/>
  <c r="AE267" i="1"/>
  <c r="GM175" i="1"/>
  <c r="GP175" i="1" s="1"/>
  <c r="W406" i="1"/>
  <c r="F467" i="1"/>
  <c r="AD362" i="1"/>
  <c r="Q374" i="1"/>
  <c r="Q201" i="1"/>
  <c r="Q231" i="1" s="1"/>
  <c r="AD168" i="1"/>
  <c r="S566" i="1"/>
  <c r="F587" i="1"/>
  <c r="GP34" i="1"/>
  <c r="AB54" i="1"/>
  <c r="AQ30" i="1"/>
  <c r="F64" i="1"/>
  <c r="AQ231" i="1"/>
  <c r="AB443" i="1"/>
  <c r="P124" i="1"/>
  <c r="F139" i="1"/>
  <c r="AF406" i="1"/>
  <c r="S443" i="1"/>
  <c r="CH648" i="1"/>
  <c r="AY685" i="1"/>
  <c r="AW324" i="1"/>
  <c r="F336" i="1"/>
  <c r="S604" i="1"/>
  <c r="F631" i="1"/>
  <c r="W30" i="1"/>
  <c r="F78" i="1"/>
  <c r="W231" i="1"/>
  <c r="BA566" i="1"/>
  <c r="F592" i="1"/>
  <c r="CH86" i="1"/>
  <c r="AY92" i="1"/>
  <c r="CI168" i="1"/>
  <c r="AZ201" i="1"/>
  <c r="F315" i="1"/>
  <c r="V267" i="1"/>
  <c r="F466" i="1"/>
  <c r="W648" i="1"/>
  <c r="F709" i="1"/>
  <c r="CH124" i="1"/>
  <c r="AY136" i="1"/>
  <c r="AF86" i="1"/>
  <c r="S92" i="1"/>
  <c r="O136" i="1"/>
  <c r="AB124" i="1"/>
  <c r="BB505" i="1"/>
  <c r="F728" i="1"/>
  <c r="P648" i="1"/>
  <c r="F688" i="1"/>
  <c r="AF30" i="1"/>
  <c r="S54" i="1"/>
  <c r="GM269" i="1"/>
  <c r="GP269" i="1" s="1"/>
  <c r="AB572" i="1"/>
  <c r="GM569" i="1"/>
  <c r="BD263" i="1"/>
  <c r="F498" i="1"/>
  <c r="CF86" i="1"/>
  <c r="AW92" i="1"/>
  <c r="AW374" i="1"/>
  <c r="CF362" i="1"/>
  <c r="AO26" i="1"/>
  <c r="F235" i="1"/>
  <c r="AO745" i="1"/>
  <c r="CF124" i="1"/>
  <c r="AW136" i="1"/>
  <c r="GP365" i="1"/>
  <c r="U648" i="1"/>
  <c r="F707" i="1"/>
  <c r="F341" i="1"/>
  <c r="AZ324" i="1"/>
  <c r="AC406" i="1"/>
  <c r="CE443" i="1"/>
  <c r="CF443" i="1"/>
  <c r="CH443" i="1"/>
  <c r="P443" i="1"/>
  <c r="AE124" i="1"/>
  <c r="R136" i="1"/>
  <c r="CE86" i="1"/>
  <c r="AV92" i="1"/>
  <c r="AP168" i="1"/>
  <c r="F210" i="1"/>
  <c r="AB201" i="1"/>
  <c r="W168" i="1"/>
  <c r="F225" i="1"/>
  <c r="Q30" i="1"/>
  <c r="F66" i="1"/>
  <c r="BA509" i="1"/>
  <c r="F554" i="1"/>
  <c r="BA715" i="1"/>
  <c r="Y92" i="1"/>
  <c r="AL86" i="1"/>
  <c r="T292" i="1"/>
  <c r="AG267" i="1"/>
  <c r="T604" i="1"/>
  <c r="F637" i="1"/>
  <c r="F160" i="1"/>
  <c r="W124" i="1"/>
  <c r="GM657" i="1"/>
  <c r="GP657" i="1" s="1"/>
  <c r="AX324" i="1"/>
  <c r="F337" i="1"/>
  <c r="BD26" i="1"/>
  <c r="F256" i="1"/>
  <c r="BD745" i="1"/>
  <c r="F639" i="1"/>
  <c r="V604" i="1"/>
  <c r="AZ648" i="1"/>
  <c r="F696" i="1"/>
  <c r="AB604" i="1"/>
  <c r="O616" i="1"/>
  <c r="GM417" i="1"/>
  <c r="GP417" i="1" s="1"/>
  <c r="BA267" i="1"/>
  <c r="F312" i="1"/>
  <c r="GM367" i="1"/>
  <c r="GP367" i="1" s="1"/>
  <c r="U201" i="1"/>
  <c r="U231" i="1" s="1"/>
  <c r="AH168" i="1"/>
  <c r="AT168" i="1"/>
  <c r="F219" i="1"/>
  <c r="P86" i="1"/>
  <c r="F95" i="1"/>
  <c r="GP271" i="1"/>
  <c r="BC263" i="1"/>
  <c r="F489" i="1"/>
  <c r="S362" i="1"/>
  <c r="F389" i="1"/>
  <c r="AC168" i="1"/>
  <c r="P201" i="1"/>
  <c r="P231" i="1" s="1"/>
  <c r="CE201" i="1"/>
  <c r="CF201" i="1"/>
  <c r="CH201" i="1"/>
  <c r="AP26" i="1"/>
  <c r="F240" i="1"/>
  <c r="AP745" i="1"/>
  <c r="GP607" i="1"/>
  <c r="S292" i="1"/>
  <c r="AF267" i="1"/>
  <c r="BA168" i="1"/>
  <c r="F221" i="1"/>
  <c r="Q443" i="1"/>
  <c r="AD406" i="1"/>
  <c r="T86" i="1"/>
  <c r="F113" i="1"/>
  <c r="CH30" i="1"/>
  <c r="AY54" i="1"/>
  <c r="Q509" i="1"/>
  <c r="F546" i="1"/>
  <c r="AX86" i="1"/>
  <c r="F99" i="1"/>
  <c r="F116" i="1"/>
  <c r="W86" i="1"/>
  <c r="F304" i="1"/>
  <c r="Q267" i="1"/>
  <c r="Q473" i="1"/>
  <c r="CG604" i="1"/>
  <c r="AX616" i="1"/>
  <c r="F626" i="1"/>
  <c r="AQ604" i="1"/>
  <c r="CI406" i="1"/>
  <c r="AZ443" i="1"/>
  <c r="CE534" i="1"/>
  <c r="CF534" i="1"/>
  <c r="AC509" i="1"/>
  <c r="P534" i="1"/>
  <c r="CH534" i="1"/>
  <c r="AD648" i="1"/>
  <c r="Q685" i="1"/>
  <c r="T30" i="1"/>
  <c r="F75" i="1"/>
  <c r="AP263" i="1"/>
  <c r="F482" i="1"/>
  <c r="R443" i="1"/>
  <c r="AE406" i="1"/>
  <c r="Q566" i="1"/>
  <c r="F584" i="1"/>
  <c r="CF30" i="1"/>
  <c r="AW54" i="1"/>
  <c r="Q124" i="1"/>
  <c r="F148" i="1"/>
  <c r="AB86" i="1"/>
  <c r="O92" i="1"/>
  <c r="AE648" i="1"/>
  <c r="R685" i="1"/>
  <c r="X534" i="1"/>
  <c r="AK509" i="1"/>
  <c r="AF648" i="1"/>
  <c r="S685" i="1"/>
  <c r="X566" i="1"/>
  <c r="F598" i="1"/>
  <c r="AZ362" i="1"/>
  <c r="F385" i="1"/>
  <c r="F356" i="1"/>
  <c r="X324" i="1"/>
  <c r="F541" i="1"/>
  <c r="AX509" i="1"/>
  <c r="AX715" i="1"/>
  <c r="F640" i="1"/>
  <c r="W604" i="1"/>
  <c r="U534" i="1"/>
  <c r="AH509" i="1"/>
  <c r="F377" i="1"/>
  <c r="P362" i="1"/>
  <c r="F114" i="1"/>
  <c r="U86" i="1"/>
  <c r="AO505" i="1"/>
  <c r="F719" i="1"/>
  <c r="AP505" i="1"/>
  <c r="F724" i="1"/>
  <c r="AE566" i="1"/>
  <c r="R572" i="1"/>
  <c r="F57" i="1"/>
  <c r="P30" i="1"/>
  <c r="GM89" i="1"/>
  <c r="T201" i="1"/>
  <c r="T231" i="1" s="1"/>
  <c r="AG168" i="1"/>
  <c r="F72" i="1"/>
  <c r="AT30" i="1"/>
  <c r="AT231" i="1"/>
  <c r="AV374" i="1"/>
  <c r="CE362" i="1"/>
  <c r="AQ263" i="1"/>
  <c r="F483" i="1"/>
  <c r="AS267" i="1"/>
  <c r="F309" i="1"/>
  <c r="AS473" i="1"/>
  <c r="CF648" i="1"/>
  <c r="AW685" i="1"/>
  <c r="GP409" i="1"/>
  <c r="Q86" i="1"/>
  <c r="F104" i="1"/>
  <c r="CE572" i="1"/>
  <c r="AC566" i="1"/>
  <c r="P572" i="1"/>
  <c r="CF572" i="1"/>
  <c r="CH572" i="1"/>
  <c r="F599" i="1"/>
  <c r="Y566" i="1"/>
  <c r="AC604" i="1"/>
  <c r="P616" i="1"/>
  <c r="CE616" i="1"/>
  <c r="CF616" i="1"/>
  <c r="CH616" i="1"/>
  <c r="BB263" i="1"/>
  <c r="F486" i="1"/>
  <c r="BA124" i="1"/>
  <c r="F156" i="1"/>
  <c r="CH362" i="1"/>
  <c r="AY374" i="1"/>
  <c r="F357" i="1"/>
  <c r="Y324" i="1"/>
  <c r="AQ168" i="1"/>
  <c r="F211" i="1"/>
  <c r="AQ715" i="1"/>
  <c r="AE168" i="1"/>
  <c r="AT509" i="1"/>
  <c r="F552" i="1"/>
  <c r="AT715" i="1"/>
  <c r="S124" i="1"/>
  <c r="F151" i="1"/>
  <c r="V648" i="1"/>
  <c r="F708" i="1"/>
  <c r="AX168" i="1"/>
  <c r="F208" i="1"/>
  <c r="BA406" i="1"/>
  <c r="F463" i="1"/>
  <c r="L598" i="8" l="1"/>
  <c r="P598" i="8"/>
  <c r="P857" i="8"/>
  <c r="L857" i="8"/>
  <c r="L701" i="8"/>
  <c r="P701" i="8"/>
  <c r="L344" i="8"/>
  <c r="P344" i="8"/>
  <c r="J434" i="8" s="1"/>
  <c r="P851" i="7"/>
  <c r="K851" i="7"/>
  <c r="GP277" i="1"/>
  <c r="CD292" i="1" s="1"/>
  <c r="CA292" i="1"/>
  <c r="AR292" i="1" s="1"/>
  <c r="P398" i="7"/>
  <c r="K398" i="7"/>
  <c r="P888" i="7"/>
  <c r="K888" i="7"/>
  <c r="P75" i="7"/>
  <c r="K75" i="7"/>
  <c r="P363" i="7"/>
  <c r="K363" i="7"/>
  <c r="P81" i="8"/>
  <c r="L81" i="8"/>
  <c r="P916" i="7"/>
  <c r="K916" i="7"/>
  <c r="P103" i="8"/>
  <c r="L103" i="8"/>
  <c r="P575" i="7"/>
  <c r="K575" i="7"/>
  <c r="L573" i="8"/>
  <c r="P573" i="8"/>
  <c r="P512" i="7"/>
  <c r="K512" i="7"/>
  <c r="P338" i="7"/>
  <c r="K338" i="7"/>
  <c r="P922" i="8"/>
  <c r="L922" i="8"/>
  <c r="L229" i="8"/>
  <c r="P229" i="8"/>
  <c r="P168" i="8"/>
  <c r="J192" i="8" s="1"/>
  <c r="L168" i="8"/>
  <c r="K767" i="7"/>
  <c r="P767" i="7"/>
  <c r="GP514" i="1"/>
  <c r="CA534" i="1"/>
  <c r="P833" i="7"/>
  <c r="K833" i="7"/>
  <c r="K162" i="7"/>
  <c r="P162" i="7"/>
  <c r="I186" i="7" s="1"/>
  <c r="P179" i="8"/>
  <c r="L179" i="8"/>
  <c r="P294" i="8"/>
  <c r="L294" i="8"/>
  <c r="L221" i="8"/>
  <c r="P221" i="8"/>
  <c r="P70" i="8"/>
  <c r="L70" i="8"/>
  <c r="P526" i="8"/>
  <c r="L526" i="8"/>
  <c r="K825" i="7"/>
  <c r="P825" i="7"/>
  <c r="P351" i="8"/>
  <c r="L351" i="8"/>
  <c r="L494" i="8"/>
  <c r="P494" i="8"/>
  <c r="P784" i="8"/>
  <c r="L784" i="8"/>
  <c r="K345" i="7"/>
  <c r="P345" i="7"/>
  <c r="P560" i="8"/>
  <c r="L560" i="8"/>
  <c r="P92" i="8"/>
  <c r="L92" i="8"/>
  <c r="K488" i="7"/>
  <c r="P488" i="7"/>
  <c r="P730" i="7"/>
  <c r="K730" i="7"/>
  <c r="P268" i="8"/>
  <c r="L268" i="8"/>
  <c r="P213" i="8"/>
  <c r="L213" i="8"/>
  <c r="K241" i="7"/>
  <c r="P241" i="7"/>
  <c r="K86" i="7"/>
  <c r="P86" i="7"/>
  <c r="P702" i="7"/>
  <c r="K702" i="7"/>
  <c r="P592" i="7"/>
  <c r="K592" i="7"/>
  <c r="P60" i="8"/>
  <c r="L60" i="8"/>
  <c r="X616" i="1"/>
  <c r="AK604" i="1"/>
  <c r="P554" i="7"/>
  <c r="K554" i="7"/>
  <c r="K817" i="7"/>
  <c r="P817" i="7"/>
  <c r="P807" i="8"/>
  <c r="L807" i="8"/>
  <c r="P463" i="7"/>
  <c r="K463" i="7"/>
  <c r="J894" i="8"/>
  <c r="P898" i="7"/>
  <c r="K898" i="7"/>
  <c r="L480" i="8"/>
  <c r="P480" i="8"/>
  <c r="J482" i="8" s="1"/>
  <c r="P369" i="8"/>
  <c r="L369" i="8"/>
  <c r="P458" i="8"/>
  <c r="L458" i="8"/>
  <c r="P255" i="8"/>
  <c r="L255" i="8"/>
  <c r="V231" i="1"/>
  <c r="CD54" i="1"/>
  <c r="P823" i="8"/>
  <c r="L823" i="8"/>
  <c r="K104" i="7"/>
  <c r="P104" i="7"/>
  <c r="P504" i="7"/>
  <c r="K504" i="7"/>
  <c r="P426" i="7"/>
  <c r="K426" i="7"/>
  <c r="P762" i="8"/>
  <c r="L762" i="8"/>
  <c r="K262" i="7"/>
  <c r="P262" i="7"/>
  <c r="L849" i="8"/>
  <c r="P849" i="8"/>
  <c r="P373" i="7"/>
  <c r="I428" i="7" s="1"/>
  <c r="K373" i="7"/>
  <c r="I97" i="7"/>
  <c r="P432" i="8"/>
  <c r="L432" i="8"/>
  <c r="K778" i="7"/>
  <c r="P778" i="7"/>
  <c r="I780" i="7" s="1"/>
  <c r="R616" i="1"/>
  <c r="F630" i="1" s="1"/>
  <c r="P880" i="7"/>
  <c r="K880" i="7"/>
  <c r="J247" i="8"/>
  <c r="P469" i="8"/>
  <c r="L469" i="8"/>
  <c r="AE362" i="1"/>
  <c r="R374" i="1"/>
  <c r="P744" i="7"/>
  <c r="I746" i="7" s="1"/>
  <c r="K744" i="7"/>
  <c r="J904" i="8"/>
  <c r="P280" i="7"/>
  <c r="K280" i="7"/>
  <c r="P582" i="7"/>
  <c r="K582" i="7"/>
  <c r="P237" i="8"/>
  <c r="L237" i="8"/>
  <c r="P718" i="8"/>
  <c r="L718" i="8"/>
  <c r="P520" i="7"/>
  <c r="K520" i="7"/>
  <c r="L912" i="8"/>
  <c r="P912" i="8"/>
  <c r="AE86" i="1"/>
  <c r="R92" i="1"/>
  <c r="P387" i="8"/>
  <c r="L387" i="8"/>
  <c r="P114" i="7"/>
  <c r="K114" i="7"/>
  <c r="K695" i="7"/>
  <c r="P695" i="7"/>
  <c r="L205" i="8"/>
  <c r="P205" i="8"/>
  <c r="P588" i="8"/>
  <c r="L588" i="8"/>
  <c r="P54" i="7"/>
  <c r="K54" i="7"/>
  <c r="P397" i="8"/>
  <c r="L397" i="8"/>
  <c r="I207" i="7"/>
  <c r="P712" i="7"/>
  <c r="K712" i="7"/>
  <c r="P859" i="7"/>
  <c r="K859" i="7"/>
  <c r="F77" i="1"/>
  <c r="R330" i="1"/>
  <c r="AE324" i="1"/>
  <c r="L518" i="8"/>
  <c r="P518" i="8"/>
  <c r="CD443" i="1"/>
  <c r="CA136" i="1"/>
  <c r="Y54" i="1"/>
  <c r="K306" i="7"/>
  <c r="P306" i="7"/>
  <c r="P677" i="7"/>
  <c r="K677" i="7"/>
  <c r="P649" i="7"/>
  <c r="K649" i="7"/>
  <c r="F342" i="1"/>
  <c r="Q324" i="1"/>
  <c r="P381" i="7"/>
  <c r="K381" i="7"/>
  <c r="P683" i="8"/>
  <c r="L683" i="8"/>
  <c r="P452" i="7"/>
  <c r="K452" i="7"/>
  <c r="P815" i="8"/>
  <c r="L815" i="8"/>
  <c r="K685" i="7"/>
  <c r="P685" i="7"/>
  <c r="P691" i="8"/>
  <c r="L691" i="8"/>
  <c r="P361" i="8"/>
  <c r="L361" i="8"/>
  <c r="L156" i="8"/>
  <c r="P156" i="8"/>
  <c r="J158" i="8" s="1"/>
  <c r="P600" i="7"/>
  <c r="K600" i="7"/>
  <c r="P304" i="8"/>
  <c r="L304" i="8"/>
  <c r="P502" i="8"/>
  <c r="L502" i="8"/>
  <c r="AB267" i="1"/>
  <c r="O292" i="1"/>
  <c r="P725" i="8"/>
  <c r="L725" i="8"/>
  <c r="K793" i="7"/>
  <c r="P793" i="7"/>
  <c r="Y374" i="1"/>
  <c r="Y362" i="1" s="1"/>
  <c r="Y292" i="1"/>
  <c r="F319" i="1" s="1"/>
  <c r="P865" i="8"/>
  <c r="L865" i="8"/>
  <c r="P276" i="8"/>
  <c r="L276" i="8"/>
  <c r="P906" i="7"/>
  <c r="K906" i="7"/>
  <c r="P843" i="7"/>
  <c r="K843" i="7"/>
  <c r="L878" i="8"/>
  <c r="P878" i="8"/>
  <c r="P538" i="7"/>
  <c r="K538" i="7"/>
  <c r="CA54" i="1"/>
  <c r="P64" i="7"/>
  <c r="K64" i="7"/>
  <c r="K173" i="7"/>
  <c r="P173" i="7"/>
  <c r="P839" i="8"/>
  <c r="L839" i="8"/>
  <c r="K298" i="7"/>
  <c r="P298" i="7"/>
  <c r="CA443" i="1"/>
  <c r="P773" i="8"/>
  <c r="L773" i="8"/>
  <c r="F594" i="1"/>
  <c r="U566" i="1"/>
  <c r="J831" i="8"/>
  <c r="P355" i="7"/>
  <c r="K355" i="7"/>
  <c r="L750" i="8"/>
  <c r="P750" i="8"/>
  <c r="J752" i="8" s="1"/>
  <c r="L446" i="8"/>
  <c r="P446" i="8"/>
  <c r="J448" i="8" s="1"/>
  <c r="P534" i="8"/>
  <c r="L534" i="8"/>
  <c r="U604" i="1"/>
  <c r="F638" i="1"/>
  <c r="I528" i="7"/>
  <c r="CA616" i="1"/>
  <c r="P110" i="8"/>
  <c r="L110" i="8"/>
  <c r="P581" i="8"/>
  <c r="L581" i="8"/>
  <c r="P150" i="7"/>
  <c r="I152" i="7" s="1"/>
  <c r="K150" i="7"/>
  <c r="P736" i="8"/>
  <c r="L736" i="8"/>
  <c r="P510" i="8"/>
  <c r="L510" i="8"/>
  <c r="P249" i="7"/>
  <c r="K249" i="7"/>
  <c r="CD616" i="1"/>
  <c r="CD604" i="1" s="1"/>
  <c r="CA374" i="1"/>
  <c r="CA362" i="1" s="1"/>
  <c r="V406" i="1"/>
  <c r="X443" i="1"/>
  <c r="P379" i="8"/>
  <c r="L379" i="8"/>
  <c r="I288" i="7"/>
  <c r="P215" i="7"/>
  <c r="K215" i="7"/>
  <c r="K631" i="7"/>
  <c r="P631" i="7"/>
  <c r="P231" i="7"/>
  <c r="K231" i="7"/>
  <c r="P567" i="7"/>
  <c r="K567" i="7"/>
  <c r="I223" i="7"/>
  <c r="P199" i="7"/>
  <c r="K199" i="7"/>
  <c r="P667" i="7"/>
  <c r="K667" i="7"/>
  <c r="P408" i="7"/>
  <c r="K408" i="7"/>
  <c r="P391" i="7"/>
  <c r="K391" i="7"/>
  <c r="CD374" i="1"/>
  <c r="AU374" i="1" s="1"/>
  <c r="P708" i="8"/>
  <c r="L708" i="8"/>
  <c r="P312" i="8"/>
  <c r="L312" i="8"/>
  <c r="P440" i="7"/>
  <c r="I442" i="7" s="1"/>
  <c r="K440" i="7"/>
  <c r="P655" i="8"/>
  <c r="L655" i="8"/>
  <c r="P404" i="8"/>
  <c r="L404" i="8"/>
  <c r="P886" i="8"/>
  <c r="L886" i="8"/>
  <c r="J799" i="8"/>
  <c r="P496" i="7"/>
  <c r="K496" i="7"/>
  <c r="K474" i="7"/>
  <c r="P474" i="7"/>
  <c r="P648" i="8"/>
  <c r="J738" i="8" s="1"/>
  <c r="L648" i="8"/>
  <c r="AK124" i="1"/>
  <c r="X136" i="1"/>
  <c r="P616" i="8"/>
  <c r="L616" i="8"/>
  <c r="T26" i="1"/>
  <c r="F252" i="1"/>
  <c r="Q26" i="1"/>
  <c r="F243" i="1"/>
  <c r="W26" i="1"/>
  <c r="F255" i="1"/>
  <c r="U267" i="1"/>
  <c r="F314" i="1"/>
  <c r="U473" i="1"/>
  <c r="CD324" i="1"/>
  <c r="AU330" i="1"/>
  <c r="X362" i="1"/>
  <c r="F400" i="1"/>
  <c r="GP89" i="1"/>
  <c r="CD92" i="1" s="1"/>
  <c r="CA92" i="1"/>
  <c r="CA572" i="1"/>
  <c r="GP569" i="1"/>
  <c r="CD572" i="1" s="1"/>
  <c r="AV86" i="1"/>
  <c r="F97" i="1"/>
  <c r="BA263" i="1"/>
  <c r="F493" i="1"/>
  <c r="AT263" i="1"/>
  <c r="F491" i="1"/>
  <c r="AX406" i="1"/>
  <c r="F450" i="1"/>
  <c r="P26" i="1"/>
  <c r="F234" i="1"/>
  <c r="F470" i="1"/>
  <c r="Y406" i="1"/>
  <c r="Y30" i="1"/>
  <c r="F81" i="1"/>
  <c r="Y231" i="1"/>
  <c r="CA406" i="1"/>
  <c r="AR443" i="1"/>
  <c r="AB566" i="1"/>
  <c r="O572" i="1"/>
  <c r="R648" i="1"/>
  <c r="F699" i="1"/>
  <c r="AS263" i="1"/>
  <c r="F490" i="1"/>
  <c r="P267" i="1"/>
  <c r="P473" i="1"/>
  <c r="F295" i="1"/>
  <c r="F376" i="1"/>
  <c r="O362" i="1"/>
  <c r="AZ26" i="1"/>
  <c r="F242" i="1"/>
  <c r="AZ745" i="1"/>
  <c r="CA324" i="1"/>
  <c r="AR330" i="1"/>
  <c r="O324" i="1"/>
  <c r="F332" i="1"/>
  <c r="R509" i="1"/>
  <c r="R715" i="1"/>
  <c r="F548" i="1"/>
  <c r="F215" i="1"/>
  <c r="R168" i="1"/>
  <c r="S168" i="1"/>
  <c r="F216" i="1"/>
  <c r="AX26" i="1"/>
  <c r="F238" i="1"/>
  <c r="X648" i="1"/>
  <c r="F711" i="1"/>
  <c r="AW292" i="1"/>
  <c r="CF267" i="1"/>
  <c r="R604" i="1"/>
  <c r="AZ263" i="1"/>
  <c r="F484" i="1"/>
  <c r="AB168" i="1"/>
  <c r="O201" i="1"/>
  <c r="CE604" i="1"/>
  <c r="AV616" i="1"/>
  <c r="Q406" i="1"/>
  <c r="F455" i="1"/>
  <c r="AW648" i="1"/>
  <c r="F691" i="1"/>
  <c r="Q648" i="1"/>
  <c r="F697" i="1"/>
  <c r="CH566" i="1"/>
  <c r="AY572" i="1"/>
  <c r="V263" i="1"/>
  <c r="F496" i="1"/>
  <c r="AV292" i="1"/>
  <c r="CE267" i="1"/>
  <c r="F469" i="1"/>
  <c r="X406" i="1"/>
  <c r="AP22" i="1"/>
  <c r="F754" i="1"/>
  <c r="G16" i="2" s="1"/>
  <c r="G18" i="2" s="1"/>
  <c r="AP775" i="1"/>
  <c r="AV534" i="1"/>
  <c r="CE509" i="1"/>
  <c r="U26" i="1"/>
  <c r="F253" i="1"/>
  <c r="AS505" i="1"/>
  <c r="F732" i="1"/>
  <c r="X30" i="1"/>
  <c r="F80" i="1"/>
  <c r="X231" i="1"/>
  <c r="F318" i="1"/>
  <c r="X267" i="1"/>
  <c r="X473" i="1"/>
  <c r="CA509" i="1"/>
  <c r="AR534" i="1"/>
  <c r="CF604" i="1"/>
  <c r="AW616" i="1"/>
  <c r="CD406" i="1"/>
  <c r="AU443" i="1"/>
  <c r="AR54" i="1"/>
  <c r="CA30" i="1"/>
  <c r="AX505" i="1"/>
  <c r="F722" i="1"/>
  <c r="AV648" i="1"/>
  <c r="F690" i="1"/>
  <c r="F68" i="1"/>
  <c r="R30" i="1"/>
  <c r="R231" i="1"/>
  <c r="P566" i="1"/>
  <c r="F575" i="1"/>
  <c r="AW534" i="1"/>
  <c r="CF509" i="1"/>
  <c r="CD124" i="1"/>
  <c r="AU136" i="1"/>
  <c r="F98" i="1"/>
  <c r="AW86" i="1"/>
  <c r="O124" i="1"/>
  <c r="F138" i="1"/>
  <c r="AV124" i="1"/>
  <c r="F141" i="1"/>
  <c r="O648" i="1"/>
  <c r="F687" i="1"/>
  <c r="W263" i="1"/>
  <c r="F497" i="1"/>
  <c r="CH604" i="1"/>
  <c r="AY616" i="1"/>
  <c r="AB509" i="1"/>
  <c r="O534" i="1"/>
  <c r="F59" i="1"/>
  <c r="AV30" i="1"/>
  <c r="F69" i="1"/>
  <c r="S231" i="1"/>
  <c r="S30" i="1"/>
  <c r="BB22" i="1"/>
  <c r="BB775" i="1"/>
  <c r="F758" i="1"/>
  <c r="S267" i="1"/>
  <c r="F307" i="1"/>
  <c r="S473" i="1"/>
  <c r="F386" i="1"/>
  <c r="Q362" i="1"/>
  <c r="S406" i="1"/>
  <c r="F458" i="1"/>
  <c r="BA26" i="1"/>
  <c r="F251" i="1"/>
  <c r="BA745" i="1"/>
  <c r="S86" i="1"/>
  <c r="F107" i="1"/>
  <c r="AY86" i="1"/>
  <c r="F100" i="1"/>
  <c r="F222" i="1"/>
  <c r="T168" i="1"/>
  <c r="O54" i="1"/>
  <c r="AB30" i="1"/>
  <c r="X509" i="1"/>
  <c r="F560" i="1"/>
  <c r="X715" i="1"/>
  <c r="AQ505" i="1"/>
  <c r="F725" i="1"/>
  <c r="AO22" i="1"/>
  <c r="AO775" i="1"/>
  <c r="F749" i="1"/>
  <c r="CH267" i="1"/>
  <c r="AY292" i="1"/>
  <c r="R124" i="1"/>
  <c r="F150" i="1"/>
  <c r="P509" i="1"/>
  <c r="F537" i="1"/>
  <c r="P715" i="1"/>
  <c r="P406" i="1"/>
  <c r="F446" i="1"/>
  <c r="Y648" i="1"/>
  <c r="F712" i="1"/>
  <c r="CH406" i="1"/>
  <c r="AY443" i="1"/>
  <c r="AS26" i="1"/>
  <c r="F248" i="1"/>
  <c r="AS745" i="1"/>
  <c r="F382" i="1"/>
  <c r="AY362" i="1"/>
  <c r="F380" i="1"/>
  <c r="AW362" i="1"/>
  <c r="CE566" i="1"/>
  <c r="AV572" i="1"/>
  <c r="AB406" i="1"/>
  <c r="O443" i="1"/>
  <c r="BC22" i="1"/>
  <c r="BC775" i="1"/>
  <c r="F761" i="1"/>
  <c r="X168" i="1"/>
  <c r="F227" i="1"/>
  <c r="Y509" i="1"/>
  <c r="F561" i="1"/>
  <c r="Y715" i="1"/>
  <c r="Q263" i="1"/>
  <c r="F485" i="1"/>
  <c r="U509" i="1"/>
  <c r="F556" i="1"/>
  <c r="U715" i="1"/>
  <c r="U745" i="1" s="1"/>
  <c r="AW124" i="1"/>
  <c r="F142" i="1"/>
  <c r="P604" i="1"/>
  <c r="F619" i="1"/>
  <c r="F618" i="1"/>
  <c r="O604" i="1"/>
  <c r="F94" i="1"/>
  <c r="O86" i="1"/>
  <c r="T267" i="1"/>
  <c r="F313" i="1"/>
  <c r="T473" i="1"/>
  <c r="Y86" i="1"/>
  <c r="F119" i="1"/>
  <c r="AY648" i="1"/>
  <c r="F693" i="1"/>
  <c r="V509" i="1"/>
  <c r="F557" i="1"/>
  <c r="V715" i="1"/>
  <c r="CF566" i="1"/>
  <c r="AW572" i="1"/>
  <c r="BA505" i="1"/>
  <c r="F735" i="1"/>
  <c r="W509" i="1"/>
  <c r="F558" i="1"/>
  <c r="W715" i="1"/>
  <c r="W745" i="1" s="1"/>
  <c r="F60" i="1"/>
  <c r="AW30" i="1"/>
  <c r="AW231" i="1"/>
  <c r="CF406" i="1"/>
  <c r="AW443" i="1"/>
  <c r="BD22" i="1"/>
  <c r="F770" i="1"/>
  <c r="BD775" i="1"/>
  <c r="CE406" i="1"/>
  <c r="AV443" i="1"/>
  <c r="F212" i="1"/>
  <c r="AZ168" i="1"/>
  <c r="F379" i="1"/>
  <c r="AV362" i="1"/>
  <c r="AZ406" i="1"/>
  <c r="F454" i="1"/>
  <c r="AT26" i="1"/>
  <c r="F249" i="1"/>
  <c r="AT745" i="1"/>
  <c r="CH168" i="1"/>
  <c r="AY201" i="1"/>
  <c r="CF168" i="1"/>
  <c r="AW201" i="1"/>
  <c r="CE168" i="1"/>
  <c r="AV201" i="1"/>
  <c r="AV231" i="1" s="1"/>
  <c r="F223" i="1"/>
  <c r="U168" i="1"/>
  <c r="AY124" i="1"/>
  <c r="F144" i="1"/>
  <c r="AQ26" i="1"/>
  <c r="F241" i="1"/>
  <c r="AQ745" i="1"/>
  <c r="F306" i="1"/>
  <c r="R267" i="1"/>
  <c r="R473" i="1"/>
  <c r="F224" i="1"/>
  <c r="V168" i="1"/>
  <c r="AZ505" i="1"/>
  <c r="F726" i="1"/>
  <c r="T505" i="1"/>
  <c r="F736" i="1"/>
  <c r="F549" i="1"/>
  <c r="S509" i="1"/>
  <c r="S715" i="1"/>
  <c r="CA201" i="1"/>
  <c r="CA685" i="1"/>
  <c r="AU54" i="1"/>
  <c r="CD30" i="1"/>
  <c r="F118" i="1"/>
  <c r="X86" i="1"/>
  <c r="R566" i="1"/>
  <c r="F586" i="1"/>
  <c r="AY534" i="1"/>
  <c r="CH509" i="1"/>
  <c r="AR616" i="1"/>
  <c r="CA604" i="1"/>
  <c r="Q168" i="1"/>
  <c r="F213" i="1"/>
  <c r="Y168" i="1"/>
  <c r="F228" i="1"/>
  <c r="Q715" i="1"/>
  <c r="Q745" i="1" s="1"/>
  <c r="CA124" i="1"/>
  <c r="AR136" i="1"/>
  <c r="F62" i="1"/>
  <c r="AY30" i="1"/>
  <c r="AT505" i="1"/>
  <c r="F733" i="1"/>
  <c r="V26" i="1"/>
  <c r="F254" i="1"/>
  <c r="V745" i="1"/>
  <c r="R406" i="1"/>
  <c r="F457" i="1"/>
  <c r="S648" i="1"/>
  <c r="F700" i="1"/>
  <c r="AX604" i="1"/>
  <c r="F623" i="1"/>
  <c r="P168" i="1"/>
  <c r="F204" i="1"/>
  <c r="CD534" i="1"/>
  <c r="AX473" i="1"/>
  <c r="AX745" i="1" s="1"/>
  <c r="CD201" i="1"/>
  <c r="CD685" i="1"/>
  <c r="CD267" i="1" l="1"/>
  <c r="AU292" i="1"/>
  <c r="I612" i="7"/>
  <c r="F401" i="1"/>
  <c r="AR374" i="1"/>
  <c r="X124" i="1"/>
  <c r="F162" i="1"/>
  <c r="I918" i="7"/>
  <c r="P207" i="7"/>
  <c r="I924" i="7" s="1"/>
  <c r="K207" i="7"/>
  <c r="L247" i="8"/>
  <c r="P247" i="8"/>
  <c r="J930" i="8" s="1"/>
  <c r="I732" i="7"/>
  <c r="I921" i="7"/>
  <c r="P894" i="8"/>
  <c r="L894" i="8"/>
  <c r="R86" i="1"/>
  <c r="F106" i="1"/>
  <c r="X604" i="1"/>
  <c r="F642" i="1"/>
  <c r="I476" i="7"/>
  <c r="P528" i="7"/>
  <c r="I615" i="7" s="1"/>
  <c r="K528" i="7"/>
  <c r="F294" i="1"/>
  <c r="O267" i="1"/>
  <c r="Y267" i="1"/>
  <c r="J144" i="8"/>
  <c r="P904" i="8"/>
  <c r="J927" i="8" s="1"/>
  <c r="L904" i="8"/>
  <c r="J786" i="8"/>
  <c r="J317" i="8"/>
  <c r="Y473" i="1"/>
  <c r="AU616" i="1"/>
  <c r="AU604" i="1" s="1"/>
  <c r="P288" i="7"/>
  <c r="K288" i="7"/>
  <c r="P831" i="8"/>
  <c r="J933" i="8" s="1"/>
  <c r="L831" i="8"/>
  <c r="R324" i="1"/>
  <c r="F344" i="1"/>
  <c r="J618" i="8"/>
  <c r="CA267" i="1"/>
  <c r="CD362" i="1"/>
  <c r="P223" i="7"/>
  <c r="K223" i="7"/>
  <c r="J314" i="8"/>
  <c r="P799" i="8"/>
  <c r="J924" i="8" s="1"/>
  <c r="L799" i="8"/>
  <c r="F388" i="1"/>
  <c r="R362" i="1"/>
  <c r="J621" i="8"/>
  <c r="P97" i="7"/>
  <c r="I138" i="7" s="1"/>
  <c r="K97" i="7"/>
  <c r="Q22" i="1"/>
  <c r="F757" i="1"/>
  <c r="Q775" i="1"/>
  <c r="AX22" i="1"/>
  <c r="AX775" i="1"/>
  <c r="F752" i="1"/>
  <c r="W22" i="1"/>
  <c r="W775" i="1"/>
  <c r="F769" i="1"/>
  <c r="AW26" i="1"/>
  <c r="F237" i="1"/>
  <c r="T263" i="1"/>
  <c r="F494" i="1"/>
  <c r="AR124" i="1"/>
  <c r="F164" i="1"/>
  <c r="AU534" i="1"/>
  <c r="CD509" i="1"/>
  <c r="AU324" i="1"/>
  <c r="F349" i="1"/>
  <c r="S26" i="1"/>
  <c r="F246" i="1"/>
  <c r="S745" i="1"/>
  <c r="F82" i="1"/>
  <c r="AR30" i="1"/>
  <c r="AV509" i="1"/>
  <c r="F539" i="1"/>
  <c r="AV715" i="1"/>
  <c r="F358" i="1"/>
  <c r="AR324" i="1"/>
  <c r="F471" i="1"/>
  <c r="AR406" i="1"/>
  <c r="CA648" i="1"/>
  <c r="AR685" i="1"/>
  <c r="AP18" i="1"/>
  <c r="F784" i="1"/>
  <c r="I23" i="7" s="1"/>
  <c r="Y505" i="1"/>
  <c r="F742" i="1"/>
  <c r="F300" i="1"/>
  <c r="AY267" i="1"/>
  <c r="AY473" i="1"/>
  <c r="F73" i="1"/>
  <c r="AU30" i="1"/>
  <c r="AU231" i="1"/>
  <c r="O566" i="1"/>
  <c r="F574" i="1"/>
  <c r="AU124" i="1"/>
  <c r="F155" i="1"/>
  <c r="AW566" i="1"/>
  <c r="F578" i="1"/>
  <c r="AZ22" i="1"/>
  <c r="AZ775" i="1"/>
  <c r="F756" i="1"/>
  <c r="Y26" i="1"/>
  <c r="F258" i="1"/>
  <c r="Y745" i="1"/>
  <c r="CD566" i="1"/>
  <c r="AU572" i="1"/>
  <c r="AR362" i="1"/>
  <c r="F402" i="1"/>
  <c r="Y263" i="1"/>
  <c r="F500" i="1"/>
  <c r="R505" i="1"/>
  <c r="F729" i="1"/>
  <c r="BC18" i="1"/>
  <c r="F791" i="1"/>
  <c r="F577" i="1"/>
  <c r="AV566" i="1"/>
  <c r="F635" i="1"/>
  <c r="AY604" i="1"/>
  <c r="F624" i="1"/>
  <c r="AR572" i="1"/>
  <c r="CA566" i="1"/>
  <c r="AT22" i="1"/>
  <c r="F763" i="1"/>
  <c r="F16" i="2" s="1"/>
  <c r="F18" i="2" s="1"/>
  <c r="AT775" i="1"/>
  <c r="AY566" i="1"/>
  <c r="F580" i="1"/>
  <c r="AQ22" i="1"/>
  <c r="F755" i="1"/>
  <c r="AQ775" i="1"/>
  <c r="U22" i="1"/>
  <c r="F767" i="1"/>
  <c r="U775" i="1"/>
  <c r="CA168" i="1"/>
  <c r="AR201" i="1"/>
  <c r="F462" i="1"/>
  <c r="AU406" i="1"/>
  <c r="S505" i="1"/>
  <c r="F730" i="1"/>
  <c r="F445" i="1"/>
  <c r="O406" i="1"/>
  <c r="O473" i="1"/>
  <c r="AW168" i="1"/>
  <c r="F207" i="1"/>
  <c r="X263" i="1"/>
  <c r="F499" i="1"/>
  <c r="AV604" i="1"/>
  <c r="F621" i="1"/>
  <c r="CA86" i="1"/>
  <c r="AR92" i="1"/>
  <c r="AR231" i="1" s="1"/>
  <c r="U263" i="1"/>
  <c r="F495" i="1"/>
  <c r="AO18" i="1"/>
  <c r="F779" i="1"/>
  <c r="AW604" i="1"/>
  <c r="F622" i="1"/>
  <c r="V505" i="1"/>
  <c r="F738" i="1"/>
  <c r="BD18" i="1"/>
  <c r="F800" i="1"/>
  <c r="CD86" i="1"/>
  <c r="AU92" i="1"/>
  <c r="T745" i="1"/>
  <c r="R263" i="1"/>
  <c r="F487" i="1"/>
  <c r="P263" i="1"/>
  <c r="F476" i="1"/>
  <c r="AS22" i="1"/>
  <c r="F762" i="1"/>
  <c r="E16" i="2" s="1"/>
  <c r="AS775" i="1"/>
  <c r="BA22" i="1"/>
  <c r="BA775" i="1"/>
  <c r="F765" i="1"/>
  <c r="AW267" i="1"/>
  <c r="F298" i="1"/>
  <c r="AW473" i="1"/>
  <c r="AW745" i="1" s="1"/>
  <c r="X505" i="1"/>
  <c r="F741" i="1"/>
  <c r="V22" i="1"/>
  <c r="V775" i="1"/>
  <c r="F768" i="1"/>
  <c r="F540" i="1"/>
  <c r="AW509" i="1"/>
  <c r="AW715" i="1"/>
  <c r="F644" i="1"/>
  <c r="AR604" i="1"/>
  <c r="F56" i="1"/>
  <c r="O30" i="1"/>
  <c r="O231" i="1"/>
  <c r="CD648" i="1"/>
  <c r="AU685" i="1"/>
  <c r="F542" i="1"/>
  <c r="AY509" i="1"/>
  <c r="AY715" i="1"/>
  <c r="AY168" i="1"/>
  <c r="F209" i="1"/>
  <c r="AW406" i="1"/>
  <c r="F449" i="1"/>
  <c r="O168" i="1"/>
  <c r="F203" i="1"/>
  <c r="F480" i="1"/>
  <c r="AX263" i="1"/>
  <c r="BB18" i="1"/>
  <c r="F788" i="1"/>
  <c r="W505" i="1"/>
  <c r="F739" i="1"/>
  <c r="Q505" i="1"/>
  <c r="F727" i="1"/>
  <c r="AR267" i="1"/>
  <c r="AR473" i="1"/>
  <c r="F320" i="1"/>
  <c r="AV26" i="1"/>
  <c r="F236" i="1"/>
  <c r="AY406" i="1"/>
  <c r="F451" i="1"/>
  <c r="AU267" i="1"/>
  <c r="F311" i="1"/>
  <c r="AU473" i="1"/>
  <c r="AV406" i="1"/>
  <c r="F448" i="1"/>
  <c r="O509" i="1"/>
  <c r="O715" i="1"/>
  <c r="F536" i="1"/>
  <c r="AV168" i="1"/>
  <c r="F206" i="1"/>
  <c r="AR509" i="1"/>
  <c r="F562" i="1"/>
  <c r="U505" i="1"/>
  <c r="F737" i="1"/>
  <c r="P505" i="1"/>
  <c r="F718" i="1"/>
  <c r="S263" i="1"/>
  <c r="F488" i="1"/>
  <c r="R26" i="1"/>
  <c r="F245" i="1"/>
  <c r="R745" i="1"/>
  <c r="CD168" i="1"/>
  <c r="AU201" i="1"/>
  <c r="AY231" i="1"/>
  <c r="X26" i="1"/>
  <c r="F257" i="1"/>
  <c r="X745" i="1"/>
  <c r="AV267" i="1"/>
  <c r="F297" i="1"/>
  <c r="AV473" i="1"/>
  <c r="P745" i="1"/>
  <c r="AU362" i="1"/>
  <c r="F393" i="1"/>
  <c r="I311" i="7" l="1"/>
  <c r="I308" i="7"/>
  <c r="I927" i="7"/>
  <c r="R22" i="1"/>
  <c r="R775" i="1"/>
  <c r="F759" i="1"/>
  <c r="O26" i="1"/>
  <c r="F233" i="1"/>
  <c r="O745" i="1"/>
  <c r="AT18" i="1"/>
  <c r="F793" i="1"/>
  <c r="I22" i="7" s="1"/>
  <c r="AV505" i="1"/>
  <c r="F720" i="1"/>
  <c r="AU566" i="1"/>
  <c r="F591" i="1"/>
  <c r="F748" i="1"/>
  <c r="P775" i="1"/>
  <c r="P22" i="1"/>
  <c r="Y22" i="1"/>
  <c r="F772" i="1"/>
  <c r="Y775" i="1"/>
  <c r="AR168" i="1"/>
  <c r="F229" i="1"/>
  <c r="W18" i="1"/>
  <c r="F799" i="1"/>
  <c r="BA18" i="1"/>
  <c r="F795" i="1"/>
  <c r="AS18" i="1"/>
  <c r="F792" i="1"/>
  <c r="I21" i="7" s="1"/>
  <c r="AY263" i="1"/>
  <c r="F481" i="1"/>
  <c r="AW505" i="1"/>
  <c r="F721" i="1"/>
  <c r="AV263" i="1"/>
  <c r="F478" i="1"/>
  <c r="F120" i="1"/>
  <c r="AR86" i="1"/>
  <c r="S22" i="1"/>
  <c r="S775" i="1"/>
  <c r="F760" i="1"/>
  <c r="V18" i="1"/>
  <c r="F798" i="1"/>
  <c r="T22" i="1"/>
  <c r="T775" i="1"/>
  <c r="F766" i="1"/>
  <c r="AU26" i="1"/>
  <c r="F250" i="1"/>
  <c r="AU86" i="1"/>
  <c r="F111" i="1"/>
  <c r="AU648" i="1"/>
  <c r="F704" i="1"/>
  <c r="AW22" i="1"/>
  <c r="F751" i="1"/>
  <c r="AW775" i="1"/>
  <c r="E18" i="2"/>
  <c r="F600" i="1"/>
  <c r="AR566" i="1"/>
  <c r="AR715" i="1"/>
  <c r="X22" i="1"/>
  <c r="F771" i="1"/>
  <c r="X775" i="1"/>
  <c r="AZ18" i="1"/>
  <c r="F786" i="1"/>
  <c r="AR263" i="1"/>
  <c r="F501" i="1"/>
  <c r="AQ18" i="1"/>
  <c r="F785" i="1"/>
  <c r="Q18" i="1"/>
  <c r="F787" i="1"/>
  <c r="AY26" i="1"/>
  <c r="F239" i="1"/>
  <c r="AY745" i="1"/>
  <c r="O505" i="1"/>
  <c r="F717" i="1"/>
  <c r="O263" i="1"/>
  <c r="F475" i="1"/>
  <c r="AU263" i="1"/>
  <c r="F492" i="1"/>
  <c r="AR26" i="1"/>
  <c r="F259" i="1"/>
  <c r="AR745" i="1"/>
  <c r="AV745" i="1"/>
  <c r="U18" i="1"/>
  <c r="F797" i="1"/>
  <c r="AX18" i="1"/>
  <c r="F782" i="1"/>
  <c r="AY505" i="1"/>
  <c r="F723" i="1"/>
  <c r="AR648" i="1"/>
  <c r="F713" i="1"/>
  <c r="AU168" i="1"/>
  <c r="F220" i="1"/>
  <c r="AW263" i="1"/>
  <c r="F479" i="1"/>
  <c r="AU509" i="1"/>
  <c r="F553" i="1"/>
  <c r="AU715" i="1"/>
  <c r="J16" i="2" l="1"/>
  <c r="J18" i="2" s="1"/>
  <c r="AR22" i="1"/>
  <c r="F773" i="1"/>
  <c r="AR775" i="1"/>
  <c r="AU505" i="1"/>
  <c r="F734" i="1"/>
  <c r="X18" i="1"/>
  <c r="F801" i="1"/>
  <c r="P18" i="1"/>
  <c r="F778" i="1"/>
  <c r="T18" i="1"/>
  <c r="F796" i="1"/>
  <c r="AY22" i="1"/>
  <c r="AY775" i="1"/>
  <c r="F753" i="1"/>
  <c r="O22" i="1"/>
  <c r="F747" i="1"/>
  <c r="O775" i="1"/>
  <c r="AW18" i="1"/>
  <c r="F781" i="1"/>
  <c r="Y18" i="1"/>
  <c r="F802" i="1"/>
  <c r="R18" i="1"/>
  <c r="F789" i="1"/>
  <c r="AU745" i="1"/>
  <c r="AR505" i="1"/>
  <c r="F743" i="1"/>
  <c r="S18" i="1"/>
  <c r="F790" i="1"/>
  <c r="AV22" i="1"/>
  <c r="F750" i="1"/>
  <c r="AV775" i="1"/>
  <c r="I25" i="7" l="1"/>
  <c r="AV18" i="1"/>
  <c r="F780" i="1"/>
  <c r="AY18" i="1"/>
  <c r="F783" i="1"/>
  <c r="AU22" i="1"/>
  <c r="F764" i="1"/>
  <c r="H16" i="2" s="1"/>
  <c r="AU775" i="1"/>
  <c r="AR18" i="1"/>
  <c r="F803" i="1"/>
  <c r="O18" i="1"/>
  <c r="F777" i="1"/>
  <c r="F804" i="1" l="1"/>
  <c r="H31" i="8"/>
  <c r="AU18" i="1"/>
  <c r="F794" i="1"/>
  <c r="I24" i="7" s="1"/>
  <c r="H18" i="2"/>
  <c r="I16" i="2"/>
  <c r="I18" i="2" s="1"/>
  <c r="F806" i="1" l="1"/>
  <c r="I929" i="7"/>
  <c r="J935" i="8"/>
  <c r="I928" i="7"/>
  <c r="J934" i="8"/>
  <c r="J936" i="8" l="1"/>
  <c r="I930" i="7"/>
  <c r="I20" i="7" s="1"/>
</calcChain>
</file>

<file path=xl/sharedStrings.xml><?xml version="1.0" encoding="utf-8"?>
<sst xmlns="http://schemas.openxmlformats.org/spreadsheetml/2006/main" count="14865" uniqueCount="557">
  <si>
    <t>Smeta.RU  (495) 974-1589</t>
  </si>
  <si>
    <t>_PS_</t>
  </si>
  <si>
    <t>Smeta.RU</t>
  </si>
  <si>
    <t/>
  </si>
  <si>
    <t>Фестивальная торговая площадка_на 4 мес. (10%) испр.</t>
  </si>
  <si>
    <t>Сметные нормы списания</t>
  </si>
  <si>
    <t>Коды ОКП для СН-2012 Выпуск № 5 (в ценах на 01.10.2025 г)</t>
  </si>
  <si>
    <t>СН-2012 Выпуск № 5. (в ценах на 01.10.2025) глава_1-5, 7</t>
  </si>
  <si>
    <t>Типовой расчет для СН-2012 Выпуск №5 (в ценах на 01.10.2025 г)</t>
  </si>
  <si>
    <t>СН-2012 Выпуск № 5. База данных "Сборник стоимостных нормативов" в текущих ценах по состоянию на 01.10.2025 года</t>
  </si>
  <si>
    <t>Поправки для СН-2012 Выпуск № 5 в ценах на 01.10.2025 г от 02.10.2025</t>
  </si>
  <si>
    <t>Новая локальная смета</t>
  </si>
  <si>
    <t>Новый раздел</t>
  </si>
  <si>
    <t>Туалетные модули (7 шт) по адресу: г. Москва, городское поселение Краснопахорское, квартал 107</t>
  </si>
  <si>
    <t>Новый подраздел</t>
  </si>
  <si>
    <t>Система внутреннего водоснабжения и водоотведения</t>
  </si>
  <si>
    <t>1.15-2101-1-1/1</t>
  </si>
  <si>
    <t>Осмотр магистральных неизолированных внутренних трубопроводов диаметром до 100 мм</t>
  </si>
  <si>
    <t>100 м</t>
  </si>
  <si>
    <t>СН-2012.1 Выпуск № 5 (в текущих ценах по состоянию на 01.10.2025 г.). 1.15-2101-1-1/1</t>
  </si>
  <si>
    <t>)*4</t>
  </si>
  <si>
    <t>СН-2012</t>
  </si>
  <si>
    <t>Подрядные работы, гл. 1-5,7</t>
  </si>
  <si>
    <t>работа</t>
  </si>
  <si>
    <t>1.15-2101-2-1/1</t>
  </si>
  <si>
    <t>Осмотр магистральных неизолированных внутренних трубопроводов диаметром до 100 мм с лестниц</t>
  </si>
  <si>
    <t>СН-2012.1 Выпуск № 5 (в текущих ценах по состоянию на 01.10.2025 г.). 1.15-2101-2-1/1</t>
  </si>
  <si>
    <t>)*8</t>
  </si>
  <si>
    <t>1</t>
  </si>
  <si>
    <t>1.15-2203-7-1/1</t>
  </si>
  <si>
    <t>Техническое обслуживание крана шарового латунного никелированного диаметром до 25 мм</t>
  </si>
  <si>
    <t>10 шт.</t>
  </si>
  <si>
    <t>СН-2012.1 Выпуск № 5 (в текущих ценах по состоянию на 01.10.2025 г.). 1.15-2203-7-1/1</t>
  </si>
  <si>
    <t>2</t>
  </si>
  <si>
    <t>1.21-2303-24-1/1</t>
  </si>
  <si>
    <t>Техническое обслуживание электроводонагревателей объемом до 80 литров</t>
  </si>
  <si>
    <t>шт.</t>
  </si>
  <si>
    <t>СН-2012.1 Выпуск № 5 (в текущих ценах по состоянию на 01.10.2025 г.). 1.21-2303-24-1/1</t>
  </si>
  <si>
    <t>3</t>
  </si>
  <si>
    <t>1.23-2103-41-1/1</t>
  </si>
  <si>
    <t>Техническое обслуживание регулирующего клапана / Клапан предохранительный Ду 15</t>
  </si>
  <si>
    <t>СН-2012.1 Выпуск № 5 (в текущих ценах по состоянию на 01.10.2025 г.). 1.23-2103-41-1/1</t>
  </si>
  <si>
    <t>)*2</t>
  </si>
  <si>
    <t>1.16-2201-1-1/1</t>
  </si>
  <si>
    <t>Осмотры санитарно-технических приборов и трубопроводов в туалетах общественных зданий - туалет (1 умывальник и 1 унитаз)</t>
  </si>
  <si>
    <t>СН-2012.1 Выпуск № 5 (в текущих ценах по состоянию на 01.10.2025 г.). 1.16-2201-1-1/1</t>
  </si>
  <si>
    <t>)*17</t>
  </si>
  <si>
    <t>1.16-2201-1-2/1</t>
  </si>
  <si>
    <t>Осмотры санитарно-технических приборов и трубопроводов в туалетах общественных зданий - добавлять на осмотр каждого унитаза сверх одного</t>
  </si>
  <si>
    <t>СН-2012.1 Выпуск № 5 (в текущих ценах по состоянию на 01.10.2025 г.). 1.16-2201-1-2/1</t>
  </si>
  <si>
    <t>4</t>
  </si>
  <si>
    <t>1.16-3201-2-1/1</t>
  </si>
  <si>
    <t>Укрепление расшатавшихся санитарно-технических приборов - умывальники</t>
  </si>
  <si>
    <t>100 шт.</t>
  </si>
  <si>
    <t>СН-2012.1 Выпуск № 5 (в текущих ценах по состоянию на 01.10.2025 г.). 1.16-3201-2-1/1</t>
  </si>
  <si>
    <t>5</t>
  </si>
  <si>
    <t>1.16-3201-2-2/1</t>
  </si>
  <si>
    <t>Укрепление расшатавшихся санитарно-технических приборов - унитазы и биде</t>
  </si>
  <si>
    <t>СН-2012.1 Выпуск № 5 (в текущих ценах по состоянию на 01.10.2025 г.). 1.16-3201-2-2/1</t>
  </si>
  <si>
    <t>6</t>
  </si>
  <si>
    <t>1.16-3201-2-3/1</t>
  </si>
  <si>
    <t>Укрепление расшатавшихся санитарно-технических приборов - писсуары</t>
  </si>
  <si>
    <t>СН-2012.1 Выпуск № 5 (в текущих ценах по состоянию на 01.10.2025 г.). 1.16-3201-2-3/1</t>
  </si>
  <si>
    <t>1.16-2303-3-1/1</t>
  </si>
  <si>
    <t>Техническое обслуживание компактной канализационной насосной установки</t>
  </si>
  <si>
    <t>СН-2012.1 Выпуск № 5 (в текущих ценах по состоянию на 01.10.2025 г.). 1.16-2303-3-1/1</t>
  </si>
  <si>
    <t>7</t>
  </si>
  <si>
    <t>Техническое обслуживание крана шарового латунного никелированного диаметром до 25 мм / Кран смывной для писуара</t>
  </si>
  <si>
    <t>8</t>
  </si>
  <si>
    <t>Техническое обслуживание регулирующего клапана / Смеситель для раковины</t>
  </si>
  <si>
    <t>9</t>
  </si>
  <si>
    <t>1.16-3201-1-1/1</t>
  </si>
  <si>
    <t>Регулировка смывного бачка</t>
  </si>
  <si>
    <t>100 приборов</t>
  </si>
  <si>
    <t>СН-2012.1 Выпуск № 5 (в текущих ценах по состоянию на 01.10.2025 г.). 1.16-3201-1-1/1</t>
  </si>
  <si>
    <t>10</t>
  </si>
  <si>
    <t>1.16-2203-1-1/1</t>
  </si>
  <si>
    <t>Прочистка сифонов</t>
  </si>
  <si>
    <t>СН-2012.1 Выпуск № 5 (в текущих ценах по состоянию на 01.10.2025 г.). 1.16-2203-1-1/1</t>
  </si>
  <si>
    <t>1.16-2101-2-1/1</t>
  </si>
  <si>
    <t>Осмотр чугунных канализационных ревизий и прочисток</t>
  </si>
  <si>
    <t>СН-2012.1 Выпуск № 5 (в текущих ценах по состоянию на 01.10.2025 г.). 1.16-2101-2-1/1</t>
  </si>
  <si>
    <t>1.16-3101-3-1/1</t>
  </si>
  <si>
    <t>Прочистка канализационной сети внутренней</t>
  </si>
  <si>
    <t>СН-2012.1 Выпуск № 5 (в текущих ценах по состоянию на 01.10.2025 г.). 1.16-3101-3-1/1</t>
  </si>
  <si>
    <t>11</t>
  </si>
  <si>
    <t>1.15-2303-4-1/1</t>
  </si>
  <si>
    <t>Прочистка сетчатых фильтров грубой очистки воды диаметром до 25 мм</t>
  </si>
  <si>
    <t>СН-2012.1 Выпуск № 5 (в текущих ценах по состоянию на 01.10.2025 г.). 1.15-2303-4-1/1</t>
  </si>
  <si>
    <t>1.15-2203-7-2/1</t>
  </si>
  <si>
    <t>Техническое обслуживание крана шарового латунного никелированного диаметром до 50 мм</t>
  </si>
  <si>
    <t>СН-2012.1 Выпуск № 5 (в текущих ценах по состоянию на 01.10.2025 г.). 1.15-2203-7-2/1</t>
  </si>
  <si>
    <t>1.18-2501-4-1/1</t>
  </si>
  <si>
    <t>Технический осмотр воздухораспределительных устройств с передвижных подмостей - сопла сферического, диффузора / прим. распределительная гребенка на 29 отводов</t>
  </si>
  <si>
    <t>СН-2012.1 Выпуск № 5 (в текущих ценах по состоянию на 01.10.2025 г.). 1.18-2501-4-1/1</t>
  </si>
  <si>
    <t>2.6-2103-12-1/1</t>
  </si>
  <si>
    <t>Техническое обслуживание блоков контроля затопления - электронный регулятор уровня (ЭРУ-1), коллектор</t>
  </si>
  <si>
    <t>СН-2012.2 Выпуск № 5 (в текущих ценах по состоянию на 01.10.2025 г.). 2.6-2103-12-1/1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</si>
  <si>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</si>
  <si>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</si>
  <si>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</si>
  <si>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</si>
  <si>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</si>
  <si>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</si>
  <si>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</si>
  <si>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</si>
  <si>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</si>
  <si>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</si>
  <si>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</si>
  <si>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</si>
  <si>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</si>
  <si>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</si>
  <si>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</si>
  <si>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</si>
  <si>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</si>
  <si>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</si>
  <si>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</si>
  <si>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</si>
  <si>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</si>
  <si>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</si>
  <si>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</si>
  <si>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</si>
  <si>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</si>
  <si>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</si>
  <si>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</si>
  <si>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</si>
  <si>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</si>
  <si>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</si>
  <si>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</si>
  <si>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</si>
  <si>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</si>
  <si>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</si>
  <si>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</si>
  <si>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</si>
  <si>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</si>
  <si>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</si>
  <si>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</si>
  <si>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</si>
  <si>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</si>
  <si>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</si>
  <si>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</si>
  <si>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</si>
  <si>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</si>
  <si>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</si>
  <si>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</si>
  <si>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</si>
  <si>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</si>
  <si>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</si>
  <si>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</si>
  <si>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</si>
  <si>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</si>
  <si>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</si>
  <si>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Отопление</t>
  </si>
  <si>
    <t>1.23-2103-31-1/1</t>
  </si>
  <si>
    <t>Техническое обслуживание термостата</t>
  </si>
  <si>
    <t>СН-2012.1 Выпуск № 5 (в текущих ценах по состоянию на 01.10.2025 г.). 1.23-2103-31-1/1</t>
  </si>
  <si>
    <t>12</t>
  </si>
  <si>
    <t>1.21-2303-50-1/1</t>
  </si>
  <si>
    <t>Техническое обслуживание  конвектора электрического настенного крепления, с механическим термостатом, мощность до 2,0 кВт</t>
  </si>
  <si>
    <t>СН-2012.1 Выпуск № 5 (в текущих ценах по состоянию на 01.10.2025 г.). 1.21-2303-50-1/1</t>
  </si>
  <si>
    <t>1.21-2301-29-1/1</t>
  </si>
  <si>
    <t>Осмотр конвектора электрического настенного крепления, с механическим термостатом, мощность до 2,0 кВт</t>
  </si>
  <si>
    <t>СН-2012.1 Выпуск № 5 (в текущих ценах по состоянию на 01.10.2025 г.). 1.21-2301-29-1/1</t>
  </si>
  <si>
    <t>)*3</t>
  </si>
  <si>
    <t>Вентиляция и кондиционирование</t>
  </si>
  <si>
    <t>1.18-2303-3-1/1</t>
  </si>
  <si>
    <t>Техническое обслуживание канального вентилятора - ежемесячное</t>
  </si>
  <si>
    <t>СН-2012.1 Выпуск № 5 (в текущих ценах по состоянию на 01.10.2025 г.). 1.18-2303-3-1/1</t>
  </si>
  <si>
    <t>13</t>
  </si>
  <si>
    <t>1.18-2303-3-2/1</t>
  </si>
  <si>
    <t>Техническое обслуживание канального вентилятора - ежеквартальное</t>
  </si>
  <si>
    <t>СН-2012.1 Выпуск № 5 (в текущих ценах по состоянию на 01.10.2025 г.). 1.18-2303-3-2/1</t>
  </si>
  <si>
    <t>1.18-2303-3-3/1</t>
  </si>
  <si>
    <t>Техническое обслуживание канального вентилятора - ежегодное</t>
  </si>
  <si>
    <t>СН-2012.1 Выпуск № 5 (в текущих ценах по состоянию на 01.10.2025 г.). 1.18-2303-3-3/1</t>
  </si>
  <si>
    <t>14</t>
  </si>
  <si>
    <t>1.18-2403-19-5/1</t>
  </si>
  <si>
    <t>Техническое обслуживание внутренних настенных блоков сплит систем мощностью до 7 кВт - полугодовое</t>
  </si>
  <si>
    <t>1 блок</t>
  </si>
  <si>
    <t>СН-2012.1 Выпуск № 5 (в текущих ценах по состоянию на 01.10.2025 г.). 1.18-2403-19-5/1</t>
  </si>
  <si>
    <t>1.18-2403-19-2/1</t>
  </si>
  <si>
    <t>Техническое обслуживание внутренних настенных блоков сплит систем мощностью до 7 кВт - ежемесячное</t>
  </si>
  <si>
    <t>СН-2012.1 Выпуск № 5 (в текущих ценах по состоянию на 01.10.2025 г.). 1.18-2403-19-2/1</t>
  </si>
  <si>
    <t>15</t>
  </si>
  <si>
    <t>1.18-2403-18-3/1</t>
  </si>
  <si>
    <t>Техническое обслуживание наружных блоков сплит систем мощностью до 10 кВт - полугодовое</t>
  </si>
  <si>
    <t>СН-2012.1 Выпуск № 5 (в текущих ценах по состоянию на 01.10.2025 г.). 1.18-2403-18-3/1</t>
  </si>
  <si>
    <t>1.18-2403-18-1/1</t>
  </si>
  <si>
    <t>Техническое обслуживание наружных блоков сплит систем мощностью до 10 кВт - ежемесячное</t>
  </si>
  <si>
    <t>СН-2012.1 Выпуск № 5 (в текущих ценах по состоянию на 01.10.2025 г.). 1.18-2403-18-1/1</t>
  </si>
  <si>
    <t>1.18-2403-17-4/1</t>
  </si>
  <si>
    <t>Техническое обслуживание внутренних кассетных блоков сплит систем мощностью свыше 5 кВт - полугодовое</t>
  </si>
  <si>
    <t>СН-2012.1 Выпуск № 5 (в текущих ценах по состоянию на 01.10.2025 г.). 1.18-2403-17-4/1</t>
  </si>
  <si>
    <t>1.18-2403-17-2/1</t>
  </si>
  <si>
    <t>Техническое обслуживание внутренних кассетных блоков сплит систем мощностью свыше 5 кВт - ежемесячное</t>
  </si>
  <si>
    <t>СН-2012.1 Выпуск № 5 (в текущих ценах по состоянию на 01.10.2025 г.). 1.18-2403-17-2/1</t>
  </si>
  <si>
    <t>Система электроснабжения</t>
  </si>
  <si>
    <t>Щитовое оборудование</t>
  </si>
  <si>
    <t>16</t>
  </si>
  <si>
    <t>1.21-2203-2-5/1</t>
  </si>
  <si>
    <t>Техническое обслуживание силового распределительного пункта с установочными автоматами, число групп 12 / Распределительный щит, 48 модулеё, IP54</t>
  </si>
  <si>
    <t>СН-2012.1 Выпуск № 5 (в текущих ценах по состоянию на 01.10.2025 г.). 1.21-2203-2-5/1</t>
  </si>
  <si>
    <t>1.21-2201-2-5/1</t>
  </si>
  <si>
    <t>Технический осмотр силового распределительного пункта с установочными автоматами, число групп 12 / Распределительный щит, 48 модулеё, IP54</t>
  </si>
  <si>
    <t>СН-2012.1 Выпуск № 5 (в текущих ценах по состоянию на 01.10.2025 г.). 1.21-2201-2-5/1</t>
  </si>
  <si>
    <t>1.21-2301-3-1/1</t>
  </si>
  <si>
    <t>Технический осмотр выключателей автоматических трехполюсных установочных, номинальный ток до 200 А /  3р, Iн= 63А</t>
  </si>
  <si>
    <t>СН-2012.1 Выпуск № 5 (в текущих ценах по состоянию на 01.10.2025 г.). 1.21-2301-3-1/1</t>
  </si>
  <si>
    <t>17</t>
  </si>
  <si>
    <t>1.21-2303-3-1/1</t>
  </si>
  <si>
    <t>Техническое обслуживание выключателей автоматических трехполюсных установочных, номинальный ток до 200 А  /  3р, Iн= 63А</t>
  </si>
  <si>
    <t>СН-2012.1 Выпуск № 5 (в текущих ценах по состоянию на 01.10.2025 г.). 1.21-2303-3-1/1</t>
  </si>
  <si>
    <t>18</t>
  </si>
  <si>
    <t>1.21-2303-28-1/1</t>
  </si>
  <si>
    <t>Техническое обслуживание автоматического выключателя до 160 А / Устройство защитного отключения 4p, Iн= 63А, диф=100мА</t>
  </si>
  <si>
    <t>СН-2012.1 Выпуск № 5 (в текущих ценах по состоянию на 01.10.2025 г.). 1.21-2303-28-1/1</t>
  </si>
  <si>
    <t>1.21-2301-19-1/1</t>
  </si>
  <si>
    <t>Технический осмотр выключателей автоматических однополюсных установочных на номинальный ток до 63 А / 1р, Iн=10А</t>
  </si>
  <si>
    <t>СН-2012.1 Выпуск № 5 (в текущих ценах по состоянию на 01.10.2025 г.). 1.21-2301-19-1/1</t>
  </si>
  <si>
    <t>19</t>
  </si>
  <si>
    <t>1.21-2303-19-1/1</t>
  </si>
  <si>
    <t>Техническое обслуживание выключателей автоматических однополюсных установочных на номинальный ток до 63 А/ 1р, Iн=10А</t>
  </si>
  <si>
    <t>СН-2012.1 Выпуск № 5 (в текущих ценах по состоянию на 01.10.2025 г.). 1.21-2303-19-1/1</t>
  </si>
  <si>
    <t>20</t>
  </si>
  <si>
    <t>Техническое обслуживание автоматического выключателя до 160 А / Дифференциальный автоматический выключатель, Iн=16А, Iдиф=30мА</t>
  </si>
  <si>
    <t>Свелильники</t>
  </si>
  <si>
    <t>21</t>
  </si>
  <si>
    <t>1.20-2103-19-2/1</t>
  </si>
  <si>
    <t>Техническое обслуживание годовое светильника светодиодного потолочного типа Arctic 1200 / внутренние</t>
  </si>
  <si>
    <t>СН-2012.1 Выпуск № 5 (в текущих ценах по состоянию на 01.10.2025 г.). 1.20-2103-19-2/1</t>
  </si>
  <si>
    <t>Поправка: СН-2012. Гл.1 Сб.20 п.3. 1  Наименование: При работах, которые производятся на высоте свыше 2 м от пола от 2 до 8 м</t>
  </si>
  <si>
    <t>)*1,04</t>
  </si>
  <si>
    <t>Поправка: СН-2012. Гл.1 Сб.20 п.3. 1</t>
  </si>
  <si>
    <t>22</t>
  </si>
  <si>
    <t>1.20-2103-24-1/1</t>
  </si>
  <si>
    <t>Техническое обслуживание светильника светодиодного накладного пылевлагозащищенного со встроенным драйвером, крепление рассеивателя фиксирующим кольцом на винтах, диаметр до 175 мм, степень защиты IP65, мощность до 12 Вт - годовое / наружные</t>
  </si>
  <si>
    <t>СН-2012.1 Выпуск № 5 (в текущих ценах по состоянию на 01.10.2025 г.). 1.20-2103-24-1/1</t>
  </si>
  <si>
    <t>Электроустановочные изделия</t>
  </si>
  <si>
    <t>23</t>
  </si>
  <si>
    <t>1.23-2103-6-1/1</t>
  </si>
  <si>
    <t>Техническое обслуживание выключателей поплавковых / Выключатель одноклавишный Ном. ток 10 А. Ном. напр.: 250 В.</t>
  </si>
  <si>
    <t>СН-2012.1 Выпуск № 5 (в текущих ценах по состоянию на 01.10.2025 г.). 1.23-2103-6-1/1</t>
  </si>
  <si>
    <t>1.21-2303-37-2/1</t>
  </si>
  <si>
    <t>Техническое обслуживание накладной штепсельной силовой розетки с винтовыми зажимами, заземляющим контактом, степень защиты IP20, IP21, IP22 - годовое</t>
  </si>
  <si>
    <t>СН-2012.1 Выпуск № 5 (в текущих ценах по состоянию на 01.10.2025 г.). 1.21-2303-37-2/1</t>
  </si>
  <si>
    <t>24</t>
  </si>
  <si>
    <t>1.21-2303-37-1/1</t>
  </si>
  <si>
    <t>Техническое обслуживание накладной штепсельной силовой розетки с винтовыми зажимами, заземляющим контактом, степень защиты IP20, IP21, IP22 - полугодовое</t>
  </si>
  <si>
    <t>СН-2012.1 Выпуск № 5 (в текущих ценах по состоянию на 01.10.2025 г.). 1.21-2303-37-1/1</t>
  </si>
  <si>
    <t>1.21-2301-22-1/1</t>
  </si>
  <si>
    <t>Осмотр розетки штепсельной силовой с заземляющим контактом, степень защиты IP20, IP21, IP22 - ежемесячный</t>
  </si>
  <si>
    <t>СН-2012.1 Выпуск № 5 (в текущих ценах по состоянию на 01.10.2025 г.). 1.21-2301-22-1/1</t>
  </si>
  <si>
    <t>1.21-2201-1-2/1</t>
  </si>
  <si>
    <t>Технический осмотр распределительных коробок (щитков), с автоматами</t>
  </si>
  <si>
    <t>СН-2012.1 Выпуск № 5 (в текущих ценах по состоянию на 01.10.2025 г.). 1.21-2201-1-2/1</t>
  </si>
  <si>
    <t>1.21-2203-1-2/1</t>
  </si>
  <si>
    <t>Техническое обслуживание распределительных коробок (щитков), с автоматами</t>
  </si>
  <si>
    <t>СН-2012.1 Выпуск № 5 (в текущих ценах по состоянию на 01.10.2025 г.). 1.21-2203-1-2/1</t>
  </si>
  <si>
    <t>Кабели и провода</t>
  </si>
  <si>
    <t>25</t>
  </si>
  <si>
    <t>1.21-2103-9-2/1</t>
  </si>
  <si>
    <t>Техническое обслуживание силовых сетей, проложенных по кирпичным и бетонным основаниям, провод сечением 3х1,5-6 мм2 / прим. 3х2,5</t>
  </si>
  <si>
    <t>СН-2012.1 Выпуск № 5 (в текущих ценах по состоянию на 01.10.2025 г.). 1.21-2103-9-2/1</t>
  </si>
  <si>
    <t>1.21-2101-1-2/1</t>
  </si>
  <si>
    <t>Технический осмотр силовых сетей, проложенных по кирпичным и бетонным основаниям, провод сечением 3х1,5-6 мм2 / прим.3х2,5</t>
  </si>
  <si>
    <t>СН-2012.1 Выпуск № 5 (в текущих ценах по состоянию на 01.10.2025 г.). 1.21-2101-1-2/1</t>
  </si>
  <si>
    <t>26</t>
  </si>
  <si>
    <t>Техническое обслуживание силовых сетей, проложенных по кирпичным и бетонным основаниям, провод сечением 3х1,5-6 мм2</t>
  </si>
  <si>
    <t>Технический осмотр силовых сетей, проложенных по кирпичным и бетонным основаниям, провод сечением 3х1,5-6 мм2</t>
  </si>
  <si>
    <t>1.21-2103-3-1/1</t>
  </si>
  <si>
    <t>Техническое обслуживание сетей заземления магистральных / Вертикальный заземлитель из полосы 40х4 мм</t>
  </si>
  <si>
    <t>СН-2012.1 Выпуск № 5 (в текущих ценах по состоянию на 01.10.2025 г.). 1.21-2103-3-1/1</t>
  </si>
  <si>
    <t>1.21-2101-7-1/1</t>
  </si>
  <si>
    <t>Технический осмотр сетей заземления магистральных</t>
  </si>
  <si>
    <t>СН-2012.1 Выпуск № 5 (в текущих ценах по состоянию на 01.10.2025 г.). 1.21-2101-7-1/1</t>
  </si>
  <si>
    <t>Прочее электрооборудование</t>
  </si>
  <si>
    <t>27</t>
  </si>
  <si>
    <t>1.21-3301-35-1/1</t>
  </si>
  <si>
    <t>Ремонт электрополотенца (сушителя для рук) с заменой датчика включения (без стоимости датчика)</t>
  </si>
  <si>
    <t>СН-2012.1 Выпуск № 5 (в текущих ценах по состоянию на 01.10.2025 г.). 1.21-3301-35-1/1</t>
  </si>
  <si>
    <t>28</t>
  </si>
  <si>
    <t>Техническое обслуживание силовых сетей, проложенных по кирпичным и бетонным основаниям, провод сечением 3х1,5-6 мм2 / кабель греющий</t>
  </si>
  <si>
    <t>Технический осмотр силовых сетей, проложенных по кирпичным и бетонным основаниям, провод сечением 3х1,5-6 мм2 / кабель греющий</t>
  </si>
  <si>
    <t>Дом односекционный  (15 шт.) по адресу: г. Москва, городское поселение Краснопахорское, квартал 107</t>
  </si>
  <si>
    <t>1.16-2201-1-3/1</t>
  </si>
  <si>
    <t>Осмотры санитарно-технических приборов и трубопроводов в туалетах общественных зданий - добавлять на осмотр каждого умывальника сверх одного / раковина для зоны кухни</t>
  </si>
  <si>
    <t>СН-2012.1 Выпуск № 5 (в текущих ценах по состоянию на 01.10.2025 г.). 1.16-2201-1-3/1</t>
  </si>
  <si>
    <t>29</t>
  </si>
  <si>
    <t>30</t>
  </si>
  <si>
    <t>31</t>
  </si>
  <si>
    <t>32</t>
  </si>
  <si>
    <t>33</t>
  </si>
  <si>
    <t>34</t>
  </si>
  <si>
    <t>Техническое обслуживание регулирующего клапана / Смеситель для раковины / для зоны кухни</t>
  </si>
  <si>
    <t>35</t>
  </si>
  <si>
    <t>Прочистка сифонов / для зоны кухни</t>
  </si>
  <si>
    <t>Осмотры санитарно-технических приборов и трубопроводов в туалетах общественных зданий - добавлять на осмотр каждого умывальника сверх одного  / Поддон душевой</t>
  </si>
  <si>
    <t>36</t>
  </si>
  <si>
    <t>Техническое обслуживание регулирующего клапана / Смеситель душевой с лейкой с тропическим душем</t>
  </si>
  <si>
    <t>1.15-2101-3-1/1</t>
  </si>
  <si>
    <t>Осмотр магистральных неизолированных внутренних трубопроводов диаметром до 100 мм, расположенных за подвесными потолками, с лестниц</t>
  </si>
  <si>
    <t>СН-2012.1 Выпуск № 5 (в текущих ценах по состоянию на 01.10.2025 г.). 1.15-2101-3-1/1</t>
  </si>
  <si>
    <t>37</t>
  </si>
  <si>
    <t>38</t>
  </si>
  <si>
    <t>Техническое обслуживание регулирующего клапана/ прим. Клапан предохранительный ДУ 15</t>
  </si>
  <si>
    <t>39</t>
  </si>
  <si>
    <t>Техническое обслуживание крана шарового латунного никелированного диаметром до 25 мм прим. Ду 15</t>
  </si>
  <si>
    <t>40</t>
  </si>
  <si>
    <t>1.16-1201-2-1/1</t>
  </si>
  <si>
    <t>Уборка гарнитуры туалетной в зданиях медицинских организаций - контейнеры для жидкого мыла (с наполнением контейнеров жидким мылом) / прим.</t>
  </si>
  <si>
    <t>СН-2012.1 Выпуск № 5 (в текущих ценах по состоянию на 01.10.2025 г.). 1.16-1201-2-1/1</t>
  </si>
  <si>
    <t>)*245</t>
  </si>
  <si>
    <t>1.16-1201-2-2/1</t>
  </si>
  <si>
    <t>Уборка гарнитуры туалетной в зданиях медицинских организаций - держатели для туалетной бумаги (с установкой рулонов туалетной бумаги) / прим.</t>
  </si>
  <si>
    <t>СН-2012.1 Выпуск № 5 (в текущих ценах по состоянию на 01.10.2025 г.). 1.16-1201-2-2/1</t>
  </si>
  <si>
    <t>41</t>
  </si>
  <si>
    <t>42</t>
  </si>
  <si>
    <t>43</t>
  </si>
  <si>
    <t>44</t>
  </si>
  <si>
    <t>Щитовое оборудование:</t>
  </si>
  <si>
    <t>45</t>
  </si>
  <si>
    <t>Техническое обслуживание силового распределительного пункта с установочными автоматами, число групп 12 /( Распределительный щит навесной, 36 модулей, IP54 )</t>
  </si>
  <si>
    <t>Технический осмотр силового распределительного пункта с установочными автоматами, число групп 12 /Распределительный щит навесной, 36 модулей, IP54</t>
  </si>
  <si>
    <t>Технический осмотр выключателей автоматических трехполюсных установочных, номинальный ток до 200 А /  3р, Iн= 25А</t>
  </si>
  <si>
    <t>46</t>
  </si>
  <si>
    <t>Техническое обслуживание выключателей автоматических трехполюсных установочных, номинальный ток до 200 А /  3р, Iн= 25А</t>
  </si>
  <si>
    <t>47</t>
  </si>
  <si>
    <t>Техническое обслуживание автоматического выключателя до 160 А / Устройство защитного отключения 4p, Iн= 40А, диф=300мА</t>
  </si>
  <si>
    <t>Технический осмотр выключателей автоматических однополюсных установочных на номинальный ток до 63 А/             1р, Iн=10А</t>
  </si>
  <si>
    <t>48</t>
  </si>
  <si>
    <t>Техническое обслуживание выключателей автоматических однополюсных установочных на номинальный ток до 63 А/             1р, Iн=10А</t>
  </si>
  <si>
    <t>Технический осмотр выключателей автоматических однополюсных установочных на номинальный ток до 63 А/             1р, Iн=16А</t>
  </si>
  <si>
    <t>49</t>
  </si>
  <si>
    <t>Техническое обслуживание выключателей автоматических однополюсных установочных на номинальный ток до 63 А/             1р, Iн=16А</t>
  </si>
  <si>
    <t>50</t>
  </si>
  <si>
    <t>Светильники:</t>
  </si>
  <si>
    <t>51</t>
  </si>
  <si>
    <t>Техническое обслуживание годовое светильника светодиодного потолочного типа Arctic 1200</t>
  </si>
  <si>
    <t>52</t>
  </si>
  <si>
    <t>1.20-2103-25-1/1</t>
  </si>
  <si>
    <t>Техническое обслуживание светильника светодиодного линейного накладного с креплением на монтажные скобы, со встроенным драйвером, длиной до 1500 мм, степень защиты IP20, мощность до 50 Вт – годовое / Светильник настенный типа "Бра"</t>
  </si>
  <si>
    <t>СН-2012.1 Выпуск № 5 (в текущих ценах по состоянию на 01.10.2025 г.). 1.20-2103-25-1/1</t>
  </si>
  <si>
    <t>53</t>
  </si>
  <si>
    <t>54</t>
  </si>
  <si>
    <t>55</t>
  </si>
  <si>
    <t>56</t>
  </si>
  <si>
    <t>1.20-2103-20-1/1</t>
  </si>
  <si>
    <t>Техническое обслуживание датчика движения инфракрасного, встраиваемого в подвесной потолок, для управления освещением - ежемесячное</t>
  </si>
  <si>
    <t>СН-2012.1 Выпуск № 5 (в текущих ценах по состоянию на 01.10.2025 г.). 1.20-2103-20-1/1</t>
  </si>
  <si>
    <t>1.23-2303-15-1/1</t>
  </si>
  <si>
    <t>Техническое обслуживание микропроцессорного терморегулятора</t>
  </si>
  <si>
    <t>СН-2012.1 Выпуск № 5 (в текущих ценах по состоянию на 01.10.2025 г.). 1.23-2303-15-1/1</t>
  </si>
  <si>
    <t>57</t>
  </si>
  <si>
    <t>58</t>
  </si>
  <si>
    <t>Техническое обслуживание сетей заземления магистральных,</t>
  </si>
  <si>
    <t>59</t>
  </si>
  <si>
    <t>Техническое обслуживание силовых сетей, проложенных по кирпичным и бетонным основаниям, провод сечением 3х1,5-6 мм2/ кабель греющий</t>
  </si>
  <si>
    <t>Дом двухсекционный  (10 шт.) по адресу: г. Москва, городское поселение Краснопахорское, квартал 107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</si>
  <si>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</si>
  <si>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</si>
  <si>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</si>
  <si>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</si>
  <si>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</si>
  <si>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</si>
  <si>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</si>
  <si>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</si>
  <si>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</si>
  <si>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</si>
  <si>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</si>
  <si>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</si>
  <si>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</si>
  <si>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</si>
  <si>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</si>
  <si>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</si>
  <si>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</si>
  <si>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</si>
  <si>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</si>
  <si>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</si>
  <si>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</si>
  <si>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</si>
  <si>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Светильники</t>
  </si>
  <si>
    <t>82</t>
  </si>
  <si>
    <t>83</t>
  </si>
  <si>
    <t>84</t>
  </si>
  <si>
    <t>85</t>
  </si>
  <si>
    <t>86</t>
  </si>
  <si>
    <t>87</t>
  </si>
  <si>
    <t>88</t>
  </si>
  <si>
    <t>89</t>
  </si>
  <si>
    <t>Прочее оборудование</t>
  </si>
  <si>
    <t>90</t>
  </si>
  <si>
    <t>Ит</t>
  </si>
  <si>
    <t>Итого</t>
  </si>
  <si>
    <t>НДС</t>
  </si>
  <si>
    <t>НДС, 20%</t>
  </si>
  <si>
    <t>ВссНДС</t>
  </si>
  <si>
    <t>Всего с НДС</t>
  </si>
  <si>
    <t>Переменная</t>
  </si>
  <si>
    <t>Новая переменная</t>
  </si>
  <si>
    <t>Уровень цен</t>
  </si>
  <si>
    <t>_OBSM_</t>
  </si>
  <si>
    <t>9999990008</t>
  </si>
  <si>
    <t>Трудозатраты рабочих</t>
  </si>
  <si>
    <t>чел.-ч.</t>
  </si>
  <si>
    <t>22.1-18-24</t>
  </si>
  <si>
    <t>СН-2012.22 Выпуск № 5 (в текущих ценах по состоянию на 01.10.2025 г.). 22.1-18-24</t>
  </si>
  <si>
    <t>Автомобили полупассажирские типа ГАЗ, грузоподъемность до 2 т</t>
  </si>
  <si>
    <t>маш.-ч</t>
  </si>
  <si>
    <t>21.1-20-7</t>
  </si>
  <si>
    <t>СН-2012.21 Выпуск № 5 (в текущих ценах по состоянию на 01.10.2025 г.). 21.1-20-7</t>
  </si>
  <si>
    <t>Ветошь</t>
  </si>
  <si>
    <t>кг</t>
  </si>
  <si>
    <t>22.1-30-56</t>
  </si>
  <si>
    <t>СН-2012.22 Выпуск № 5 (в текущих ценах по состоянию на 01.10.2025 г.). 22.1-30-56</t>
  </si>
  <si>
    <t>Шуруповерты</t>
  </si>
  <si>
    <t>21.1-1-11</t>
  </si>
  <si>
    <t>СН-2012.21 Выпуск № 5 (в текущих ценах по состоянию на 01.10.2025 г.). 21.1-1-11</t>
  </si>
  <si>
    <t>Герметик силиконовый</t>
  </si>
  <si>
    <t>л</t>
  </si>
  <si>
    <t>21.1-11-125</t>
  </si>
  <si>
    <t>Шурупы с потайной головкой, черные, размер 8,0х100 мм</t>
  </si>
  <si>
    <t>21.1-11-51</t>
  </si>
  <si>
    <t>Дюбели с насаженными шайбами</t>
  </si>
  <si>
    <t>21.1-11-15</t>
  </si>
  <si>
    <t>СН-2012.21 Выпуск № 5 (в текущих ценах по состоянию на 01.10.2025 г.). 21.1-11-15</t>
  </si>
  <si>
    <t>Болты строительные с гайками с шестигранной головкой, диаметр резьбы 6 мм</t>
  </si>
  <si>
    <t>т</t>
  </si>
  <si>
    <t>21.1-25-13</t>
  </si>
  <si>
    <t>СН-2012.21 Выпуск № 5 (в текущих ценах по состоянию на 01.10.2025 г.). 21.1-25-13</t>
  </si>
  <si>
    <t>Вода</t>
  </si>
  <si>
    <t>м3</t>
  </si>
  <si>
    <t>21.12-5-17</t>
  </si>
  <si>
    <t>СН-2012.21 Выпуск № 5 (в текущих ценах по состоянию на 01.10.2025 г.). 21.12-5-17</t>
  </si>
  <si>
    <t>Кольца резиновые уплотнительные для канализации из поливинилхлоридных труб</t>
  </si>
  <si>
    <t>22.1-17-282</t>
  </si>
  <si>
    <t>СН-2012.22 Выпуск № 5 (в текущих ценах по состоянию на 01.10.2025 г.). 22.1-17-282</t>
  </si>
  <si>
    <t>Пылесосы хозяйственные, потребляемая мощность до 1 кВт, объем мусоросборника 20 л, расход воздуха 68 л/с</t>
  </si>
  <si>
    <t>21.1-6-46</t>
  </si>
  <si>
    <t>Краски масляные жидкотертые цветные (готовые к употреблению) для наружных и внутренних работ, марка МА-15, сурик железный для окраски по металлу</t>
  </si>
  <si>
    <t>22.1-14-13</t>
  </si>
  <si>
    <t>СН-2012.22 Выпуск № 5 (в текущих ценах по состоянию на 01.10.2025 г.). 22.1-14-13</t>
  </si>
  <si>
    <t>Пылесосы промышленные</t>
  </si>
  <si>
    <t>21.1-24-43</t>
  </si>
  <si>
    <t>СН-2012.21 Выпуск № 5 (в текущих ценах по состоянию на 01.10.2025 г.). 21.1-24-43</t>
  </si>
  <si>
    <t>Средство жидкое микробиоцидное для дезинфекции и предстерилизационной очистки, содержание алкилдиметилбензиламмония хлорида 50% (ЧАС)</t>
  </si>
  <si>
    <t>22.1-17-213</t>
  </si>
  <si>
    <t>СН-2012.22 Выпуск № 5 (в текущих ценах по состоянию на 01.10.2025 г.). 22.1-17-213</t>
  </si>
  <si>
    <t>Мойки высокого давления импортного производства, расход воды 650 л/ч, мощность 3,3 кВт</t>
  </si>
  <si>
    <t>21.1-20-10</t>
  </si>
  <si>
    <t>СН-2012.21 Выпуск № 5 (в текущих ценах по состоянию на 01.10.2025 г.). 21.1-20-10</t>
  </si>
  <si>
    <t>Лента изоляционная хлопчатобумажная</t>
  </si>
  <si>
    <t>21.1-4-3</t>
  </si>
  <si>
    <t>Бензин</t>
  </si>
  <si>
    <t>21.1-6-139</t>
  </si>
  <si>
    <t>СН-2012.21 Выпуск № 5 (в текущих ценах по состоянию на 01.10.2025 г.). 21.1-6-139</t>
  </si>
  <si>
    <t>Эмаль, марка ПФ-115 (цветная), пентафталевая</t>
  </si>
  <si>
    <t>21.1-15-50</t>
  </si>
  <si>
    <t>Припой, сплав "Вуда"</t>
  </si>
  <si>
    <t>21.1-25-388</t>
  </si>
  <si>
    <t>СН-2012.21 Выпуск № 5 (в текущих ценах по состоянию на 01.10.2025 г.). 21.1-25-388</t>
  </si>
  <si>
    <t>Шкурка шлифовальная на бумажной основе</t>
  </si>
  <si>
    <t>м2</t>
  </si>
  <si>
    <t>СН-2012.21 Выпуск № 5 (в текущих ценах по состоянию на 01.10.2025 г.). 21.1-4-3</t>
  </si>
  <si>
    <t>21.1-25-137</t>
  </si>
  <si>
    <t>СН-2012.21 Выпуск № 5 (в текущих ценах по состоянию на 01.10.2025 г.). 21.1-25-137</t>
  </si>
  <si>
    <t>Лента изоляционная ПВХ, размер 15х0,2 мм</t>
  </si>
  <si>
    <t>21.1-24-22</t>
  </si>
  <si>
    <t>СН-2012.21 Выпуск № 5 (в текущих ценах по состоянию на 01.10.2025 г.). 21.1-24-22</t>
  </si>
  <si>
    <t>Средство кислотное высококонцентрированное бактерицидное пенное для очистки и дезинфекции, рН 2-3</t>
  </si>
  <si>
    <t>21.1-16-104</t>
  </si>
  <si>
    <t>СН-2012.21 Выпуск № 5 (в текущих ценах по состоянию на 01.10.2025 г.). 21.1-16-104</t>
  </si>
  <si>
    <t>Спирт этиловый технический</t>
  </si>
  <si>
    <t>Техническое обслуживание светильника светодиодного накладного пылевлагозащищенного со встроенным драйвером, крепление рассеивателя фиксирующим кольцом на винтах, диаметр до 175 мм, степень защиты IP65, мощность до 12 Вт - годовое / Светильник подвесной типа "Люстра"</t>
  </si>
  <si>
    <t>"СОГЛАСОВАНО"</t>
  </si>
  <si>
    <t>"УТВЕРЖДАЮ"</t>
  </si>
  <si>
    <t>Форма № 1а (глава 1-5)</t>
  </si>
  <si>
    <t>"_____"________________ 2025 г.</t>
  </si>
  <si>
    <t>(локальный сметный расчет)</t>
  </si>
  <si>
    <t>(наименование работ и затрат, наименование объекта)</t>
  </si>
  <si>
    <t>Сметная стоимость</t>
  </si>
  <si>
    <t>тыс.руб</t>
  </si>
  <si>
    <t>Строительные работы</t>
  </si>
  <si>
    <t>Монтажные работы</t>
  </si>
  <si>
    <t>Оборудование</t>
  </si>
  <si>
    <t>Прочие работы</t>
  </si>
  <si>
    <t>Средства на оплату труда</t>
  </si>
  <si>
    <t>№№ п/п</t>
  </si>
  <si>
    <t>Шифр расценки и коды ресурсов</t>
  </si>
  <si>
    <t>Наименование работ и затрат</t>
  </si>
  <si>
    <t>Единица измерения</t>
  </si>
  <si>
    <t>Кол-во единиц</t>
  </si>
  <si>
    <t>Цена на ед. изм. руб.</t>
  </si>
  <si>
    <t>Попра-вочные коэфф.</t>
  </si>
  <si>
    <t>Коэфф. зимних удоро-жаний</t>
  </si>
  <si>
    <t>Коэфф. пересчета</t>
  </si>
  <si>
    <t>ВСЕГО затрат, руб.</t>
  </si>
  <si>
    <t>Справочно</t>
  </si>
  <si>
    <t>ЗТР, всего чел.-час</t>
  </si>
  <si>
    <t>Ст-ть ед. с начислен.</t>
  </si>
  <si>
    <t>Составлен(а) в уровне текущих (прогнозных) цен на октябрь 2025 года</t>
  </si>
  <si>
    <t>ЗП</t>
  </si>
  <si>
    <t>НР от ЗП</t>
  </si>
  <si>
    <t>%</t>
  </si>
  <si>
    <t>СП от ЗП</t>
  </si>
  <si>
    <t>ЗТР</t>
  </si>
  <si>
    <t>чел-ч</t>
  </si>
  <si>
    <t>ЭМ</t>
  </si>
  <si>
    <t>в т.ч. ЗПМ</t>
  </si>
  <si>
    <t>МР</t>
  </si>
  <si>
    <t>НР и СП от ЗПМ</t>
  </si>
  <si>
    <r>
      <t>1.20-2103-19-2/1</t>
    </r>
    <r>
      <rPr>
        <i/>
        <sz val="10"/>
        <rFont val="Arial"/>
        <family val="2"/>
        <charset val="204"/>
      </rPr>
      <t xml:space="preserve">
Поправка: СН-2012. Гл.1 Сб.20 п.3. 1</t>
    </r>
  </si>
  <si>
    <r>
      <t>Техническое обслуживание годовое светильника светодиодного потолочного типа Arctic 1200 / внутренние</t>
    </r>
    <r>
      <rPr>
        <i/>
        <sz val="10"/>
        <rFont val="Arial"/>
        <family val="2"/>
        <charset val="204"/>
      </rPr>
      <t xml:space="preserve">
Поправка: СН-2012. Гл.1 Сб.20 п.3. 1  Наименование: При работах, которые производятся на высоте свыше 2 м от пола от 2 до 8 м</t>
    </r>
  </si>
  <si>
    <r>
      <t>1.20-2103-24-1/1</t>
    </r>
    <r>
      <rPr>
        <i/>
        <sz val="10"/>
        <rFont val="Arial"/>
        <family val="2"/>
        <charset val="204"/>
      </rPr>
      <t xml:space="preserve">
Поправка: СН-2012. Гл.1 Сб.20 п.3. 1</t>
    </r>
  </si>
  <si>
    <r>
      <t>Техническое обслуживание светильника светодиодного накладного пылевлагозащищенного со встроенным драйвером, крепление рассеивателя фиксирующим кольцом на винтах, диаметр до 175 мм, степень защиты IP65, мощность до 12 Вт - годовое / наружные</t>
    </r>
    <r>
      <rPr>
        <i/>
        <sz val="10"/>
        <rFont val="Arial"/>
        <family val="2"/>
        <charset val="204"/>
      </rPr>
      <t xml:space="preserve">
Поправка: СН-2012. Гл.1 Сб.20 п.3. 1  Наименование: При работах, которые производятся на высоте свыше 2 м от пола от 2 до 8 м</t>
    </r>
  </si>
  <si>
    <r>
      <t>Техническое обслуживание годовое светильника светодиодного потолочного типа Arctic 1200</t>
    </r>
    <r>
      <rPr>
        <i/>
        <sz val="10"/>
        <rFont val="Arial"/>
        <family val="2"/>
        <charset val="204"/>
      </rPr>
      <t xml:space="preserve">
Поправка: СН-2012. Гл.1 Сб.20 п.3. 1  Наименование: При работах, которые производятся на высоте свыше 2 м от пола от 2 до 8 м</t>
    </r>
  </si>
  <si>
    <r>
      <t>1.20-2103-25-1/1</t>
    </r>
    <r>
      <rPr>
        <i/>
        <sz val="10"/>
        <rFont val="Arial"/>
        <family val="2"/>
        <charset val="204"/>
      </rPr>
      <t xml:space="preserve">
Поправка: СН-2012. Гл.1 Сб.20 п.3. 1</t>
    </r>
  </si>
  <si>
    <r>
      <t>Техническое обслуживание светильника светодиодного линейного накладного с креплением на монтажные скобы, со встроенным драйвером, длиной до 1500 мм, степень защиты IP20, мощность до 50 Вт – годовое / Светильник настенный типа "Бра"</t>
    </r>
    <r>
      <rPr>
        <i/>
        <sz val="10"/>
        <rFont val="Arial"/>
        <family val="2"/>
        <charset val="204"/>
      </rPr>
      <t xml:space="preserve">
Поправка: СН-2012. Гл.1 Сб.20 п.3. 1  Наименование: При работах, которые производятся на высоте свыше 2 м от пола от 2 до 8 м</t>
    </r>
  </si>
  <si>
    <r>
      <t>Техническое обслуживание светильника светодиодного накладного пылевлагозащищенного со встроенным драйвером, крепление рассеивателя фиксирующим кольцом на винтах, диаметр до 175 мм, степень защиты IP65, мощность до 12 Вт - годовое / Светильник подвесной типа "Люстра"</t>
    </r>
    <r>
      <rPr>
        <i/>
        <sz val="10"/>
        <rFont val="Arial"/>
        <family val="2"/>
        <charset val="204"/>
      </rPr>
      <t xml:space="preserve">
Поправка: СН-2012. Гл.1 Сб.20 п.3. 1  Наименование: При работах, которые производятся на высоте свыше 2 м от пола от 2 до 8 м</t>
    </r>
  </si>
  <si>
    <t xml:space="preserve">Составил   </t>
  </si>
  <si>
    <t>[должность,подпись(инициалы,фамилия)]</t>
  </si>
  <si>
    <t xml:space="preserve">Проверил   </t>
  </si>
  <si>
    <t>Унифицированная форма № КС-2</t>
  </si>
  <si>
    <t>Утверждена постановлением Госкомстата России</t>
  </si>
  <si>
    <t>от 11.11.99. № 100</t>
  </si>
  <si>
    <t>Код</t>
  </si>
  <si>
    <t>Форма по ОКУД</t>
  </si>
  <si>
    <t>0322005</t>
  </si>
  <si>
    <t>Инвестор</t>
  </si>
  <si>
    <t>по ОКПО</t>
  </si>
  <si>
    <t>организация, адрес, телефон, факс</t>
  </si>
  <si>
    <t>Заказчик</t>
  </si>
  <si>
    <t>Подрядчик</t>
  </si>
  <si>
    <t>Стройка</t>
  </si>
  <si>
    <t>наименование, адрес</t>
  </si>
  <si>
    <t>Объект</t>
  </si>
  <si>
    <t>наименование</t>
  </si>
  <si>
    <t xml:space="preserve">Вид деятельности по ОКДП  </t>
  </si>
  <si>
    <t xml:space="preserve">Договор подряда  </t>
  </si>
  <si>
    <t>номер</t>
  </si>
  <si>
    <t>дата</t>
  </si>
  <si>
    <t xml:space="preserve">Вид операции  </t>
  </si>
  <si>
    <t>Номер документа</t>
  </si>
  <si>
    <t>Дата составления</t>
  </si>
  <si>
    <t>Отчетный период</t>
  </si>
  <si>
    <t>с</t>
  </si>
  <si>
    <t>по</t>
  </si>
  <si>
    <t>AKT</t>
  </si>
  <si>
    <t>О ПРИЕМКЕ ВЫПОЛНЕННЫХ РАБОТ</t>
  </si>
  <si>
    <t>Сметная (договорная) стоимость в соответствии с договором подряда (субподряда)</t>
  </si>
  <si>
    <t xml:space="preserve"> тыс.руб</t>
  </si>
  <si>
    <t>Номер</t>
  </si>
  <si>
    <t>п/п</t>
  </si>
  <si>
    <t>поз. по смете</t>
  </si>
  <si>
    <t xml:space="preserve">Сдал   </t>
  </si>
  <si>
    <t xml:space="preserve">Принял   </t>
  </si>
  <si>
    <t>Фестивальная площадка_на 4 мес. (10%) испр.</t>
  </si>
  <si>
    <t>НДС, 22%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</si>
</sst>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"/>
    <numFmt numFmtId="165" formatCode="#,##0.00;[Red]\-\ #,##0.00"/>
  </numFmts>
  <fonts count="18" x14ac:knownFonts="1">
    <font>
      <sz val="10"/>
      <name val="Arial"/>
      <charset val="204"/>
    </font>
    <font>
      <b/>
      <sz val="10"/>
      <color indexed="12"/>
      <name val="Arial"/>
      <family val="2"/>
      <charset val="204"/>
    </font>
    <font>
      <b/>
      <sz val="10"/>
      <color indexed="16"/>
      <name val="Arial"/>
      <family val="2"/>
      <charset val="204"/>
    </font>
    <font>
      <b/>
      <sz val="10"/>
      <color indexed="20"/>
      <name val="Arial"/>
      <family val="2"/>
      <charset val="204"/>
    </font>
    <font>
      <b/>
      <sz val="10"/>
      <color indexed="17"/>
      <name val="Arial"/>
      <family val="2"/>
      <charset val="204"/>
    </font>
    <font>
      <b/>
      <sz val="10"/>
      <color indexed="14"/>
      <name val="Arial"/>
      <family val="2"/>
      <charset val="204"/>
    </font>
    <font>
      <sz val="10"/>
      <color indexed="12"/>
      <name val="Arial"/>
      <family val="2"/>
      <charset val="204"/>
    </font>
    <font>
      <sz val="10"/>
      <color indexed="14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b/>
      <u/>
      <sz val="11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9" fillId="0" borderId="0" xfId="0" applyFont="1"/>
    <xf numFmtId="0" fontId="10" fillId="0" borderId="0" xfId="0" applyFont="1" applyAlignment="1">
      <alignment horizontal="right"/>
    </xf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wrapText="1"/>
    </xf>
    <xf numFmtId="164" fontId="10" fillId="0" borderId="0" xfId="0" applyNumberFormat="1" applyFont="1"/>
    <xf numFmtId="1" fontId="10" fillId="0" borderId="0" xfId="0" applyNumberFormat="1" applyFont="1"/>
    <xf numFmtId="0" fontId="14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0" fillId="0" borderId="0" xfId="0" applyFont="1" applyAlignment="1">
      <alignment horizontal="left" vertical="top" wrapText="1"/>
    </xf>
    <xf numFmtId="0" fontId="1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165" fontId="10" fillId="0" borderId="0" xfId="0" applyNumberFormat="1" applyFont="1" applyAlignment="1">
      <alignment horizontal="right"/>
    </xf>
    <xf numFmtId="0" fontId="8" fillId="0" borderId="0" xfId="0" applyFont="1" applyAlignment="1">
      <alignment vertical="top" wrapText="1"/>
    </xf>
    <xf numFmtId="165" fontId="0" fillId="0" borderId="0" xfId="0" applyNumberFormat="1"/>
    <xf numFmtId="0" fontId="0" fillId="0" borderId="6" xfId="0" applyBorder="1"/>
    <xf numFmtId="165" fontId="15" fillId="0" borderId="6" xfId="0" applyNumberFormat="1" applyFont="1" applyBorder="1" applyAlignment="1">
      <alignment horizontal="right"/>
    </xf>
    <xf numFmtId="165" fontId="14" fillId="0" borderId="0" xfId="0" applyNumberFormat="1" applyFont="1" applyAlignment="1">
      <alignment horizontal="right"/>
    </xf>
    <xf numFmtId="0" fontId="15" fillId="0" borderId="0" xfId="0" applyFont="1"/>
    <xf numFmtId="0" fontId="15" fillId="0" borderId="0" xfId="0" applyFont="1" applyAlignment="1">
      <alignment horizontal="left" wrapText="1"/>
    </xf>
    <xf numFmtId="0" fontId="10" fillId="0" borderId="1" xfId="0" applyFont="1" applyBorder="1"/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8" fillId="0" borderId="8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4" fontId="10" fillId="0" borderId="9" xfId="0" applyNumberFormat="1" applyFont="1" applyBorder="1" applyAlignment="1">
      <alignment horizontal="center"/>
    </xf>
    <xf numFmtId="14" fontId="10" fillId="0" borderId="3" xfId="0" applyNumberFormat="1" applyFont="1" applyBorder="1" applyAlignment="1">
      <alignment horizontal="center"/>
    </xf>
    <xf numFmtId="0" fontId="14" fillId="0" borderId="3" xfId="0" applyFont="1" applyBorder="1" applyAlignment="1">
      <alignment horizontal="center" vertical="top"/>
    </xf>
    <xf numFmtId="0" fontId="10" fillId="0" borderId="3" xfId="0" applyFont="1" applyBorder="1" applyAlignment="1">
      <alignment horizontal="center" vertical="top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right"/>
    </xf>
    <xf numFmtId="0" fontId="12" fillId="0" borderId="1" xfId="0" applyFont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165" fontId="10" fillId="0" borderId="0" xfId="0" applyNumberFormat="1" applyFont="1" applyAlignment="1">
      <alignment horizontal="right"/>
    </xf>
    <xf numFmtId="0" fontId="13" fillId="0" borderId="1" xfId="0" applyFont="1" applyBorder="1" applyAlignment="1">
      <alignment horizont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165" fontId="15" fillId="0" borderId="6" xfId="0" applyNumberFormat="1" applyFont="1" applyBorder="1" applyAlignment="1">
      <alignment horizontal="right"/>
    </xf>
    <xf numFmtId="165" fontId="15" fillId="0" borderId="0" xfId="0" applyNumberFormat="1" applyFont="1" applyAlignment="1">
      <alignment horizontal="right"/>
    </xf>
    <xf numFmtId="0" fontId="15" fillId="0" borderId="0" xfId="0" applyFont="1" applyAlignment="1">
      <alignment horizontal="left" wrapText="1"/>
    </xf>
    <xf numFmtId="0" fontId="16" fillId="0" borderId="0" xfId="0" applyFont="1" applyAlignment="1">
      <alignment horizontal="left" wrapText="1"/>
    </xf>
    <xf numFmtId="0" fontId="10" fillId="0" borderId="0" xfId="0" applyFont="1" applyAlignment="1">
      <alignment horizontal="right" vertical="center"/>
    </xf>
    <xf numFmtId="0" fontId="9" fillId="0" borderId="5" xfId="0" applyFont="1" applyBorder="1" applyAlignment="1">
      <alignment horizontal="center"/>
    </xf>
    <xf numFmtId="0" fontId="8" fillId="0" borderId="0" xfId="0" applyFont="1" applyAlignment="1">
      <alignment horizontal="right"/>
    </xf>
    <xf numFmtId="0" fontId="10" fillId="0" borderId="3" xfId="0" applyFont="1" applyBorder="1" applyAlignment="1">
      <alignment horizontal="center"/>
    </xf>
    <xf numFmtId="0" fontId="10" fillId="0" borderId="3" xfId="0" quotePrefix="1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8" fillId="0" borderId="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0" fillId="0" borderId="7" xfId="0" applyFont="1" applyBorder="1" applyAlignment="1">
      <alignment horizontal="right"/>
    </xf>
    <xf numFmtId="14" fontId="10" fillId="0" borderId="3" xfId="0" applyNumberFormat="1" applyFont="1" applyBorder="1" applyAlignment="1">
      <alignment horizontal="center"/>
    </xf>
    <xf numFmtId="165" fontId="15" fillId="0" borderId="1" xfId="0" applyNumberFormat="1" applyFont="1" applyBorder="1" applyAlignment="1">
      <alignment horizontal="right"/>
    </xf>
    <xf numFmtId="0" fontId="10" fillId="0" borderId="3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center" wrapText="1"/>
    </xf>
    <xf numFmtId="0" fontId="15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937"/>
  <sheetViews>
    <sheetView tabSelected="1" topLeftCell="A904" zoomScaleNormal="100" workbookViewId="0">
      <selection activeCell="I928" sqref="I928:J929"/>
    </sheetView>
  </sheetViews>
  <sheetFormatPr defaultRowHeight="12.75" x14ac:dyDescent="0.2"/>
  <cols>
    <col min="1" max="1" width="5.7109375" customWidth="1"/>
    <col min="2" max="2" width="11.7109375" customWidth="1"/>
    <col min="3" max="3" width="40.7109375" customWidth="1"/>
    <col min="4" max="6" width="11.7109375" customWidth="1"/>
    <col min="7" max="11" width="12.7109375" customWidth="1"/>
    <col min="15" max="30" width="0" hidden="1" customWidth="1"/>
    <col min="31" max="31" width="152.7109375" hidden="1" customWidth="1"/>
    <col min="32" max="32" width="116.7109375" hidden="1" customWidth="1"/>
    <col min="33" max="36" width="0" hidden="1" customWidth="1"/>
  </cols>
  <sheetData>
    <row r="1" spans="1:11" x14ac:dyDescent="0.2">
      <c r="A1" s="8" t="str">
        <f>CONCATENATE(Source!B1, "     СН-2012 (© ОАО МЦЦС 'Мосстройцены', ", "2025", ")")</f>
        <v>Smeta.RU  (495) 974-1589     СН-2012 (© ОАО МЦЦС 'Мосстройцены', 2025)</v>
      </c>
    </row>
    <row r="2" spans="1:11" ht="14.25" x14ac:dyDescent="0.2">
      <c r="A2" s="9"/>
      <c r="B2" s="9"/>
      <c r="C2" s="9"/>
      <c r="D2" s="9"/>
      <c r="E2" s="9"/>
      <c r="F2" s="9"/>
      <c r="G2" s="9"/>
      <c r="H2" s="9"/>
      <c r="I2" s="9"/>
      <c r="J2" s="40" t="s">
        <v>475</v>
      </c>
      <c r="K2" s="40"/>
    </row>
    <row r="3" spans="1:11" ht="16.5" x14ac:dyDescent="0.25">
      <c r="A3" s="11"/>
      <c r="B3" s="44" t="s">
        <v>473</v>
      </c>
      <c r="C3" s="44"/>
      <c r="D3" s="44"/>
      <c r="E3" s="44"/>
      <c r="F3" s="10"/>
      <c r="G3" s="44" t="s">
        <v>474</v>
      </c>
      <c r="H3" s="44"/>
      <c r="I3" s="44"/>
      <c r="J3" s="44"/>
      <c r="K3" s="44"/>
    </row>
    <row r="4" spans="1:11" ht="14.25" x14ac:dyDescent="0.2">
      <c r="A4" s="10"/>
      <c r="B4" s="45"/>
      <c r="C4" s="45"/>
      <c r="D4" s="45"/>
      <c r="E4" s="45"/>
      <c r="F4" s="10"/>
      <c r="G4" s="45"/>
      <c r="H4" s="45"/>
      <c r="I4" s="45"/>
      <c r="J4" s="45"/>
      <c r="K4" s="45"/>
    </row>
    <row r="5" spans="1:11" ht="14.25" x14ac:dyDescent="0.2">
      <c r="A5" s="10"/>
      <c r="B5" s="10"/>
      <c r="C5" s="12"/>
      <c r="D5" s="12"/>
      <c r="E5" s="12"/>
      <c r="F5" s="10"/>
      <c r="G5" s="12"/>
      <c r="H5" s="12"/>
      <c r="I5" s="12"/>
      <c r="J5" s="12"/>
      <c r="K5" s="12"/>
    </row>
    <row r="6" spans="1:11" ht="14.25" x14ac:dyDescent="0.2">
      <c r="A6" s="12"/>
      <c r="B6" s="45" t="str">
        <f>CONCATENATE("______________________ ", IF(Source!AL12&lt;&gt;"", Source!AL12, ""))</f>
        <v xml:space="preserve">______________________ </v>
      </c>
      <c r="C6" s="45"/>
      <c r="D6" s="45"/>
      <c r="E6" s="45"/>
      <c r="F6" s="10"/>
      <c r="G6" s="45" t="str">
        <f>CONCATENATE("______________________ ", IF(Source!AH12&lt;&gt;"", Source!AH12, ""))</f>
        <v xml:space="preserve">______________________ </v>
      </c>
      <c r="H6" s="45"/>
      <c r="I6" s="45"/>
      <c r="J6" s="45"/>
      <c r="K6" s="45"/>
    </row>
    <row r="7" spans="1:11" ht="14.25" customHeight="1" x14ac:dyDescent="0.2">
      <c r="A7" s="13"/>
      <c r="B7" s="39" t="s">
        <v>476</v>
      </c>
      <c r="C7" s="39"/>
      <c r="D7" s="39"/>
      <c r="E7" s="39"/>
      <c r="F7" s="10"/>
      <c r="G7" s="39" t="s">
        <v>476</v>
      </c>
      <c r="H7" s="39"/>
      <c r="I7" s="39"/>
      <c r="J7" s="39"/>
      <c r="K7" s="39"/>
    </row>
    <row r="9" spans="1:11" ht="14.25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</row>
    <row r="10" spans="1:11" ht="15.75" customHeight="1" x14ac:dyDescent="0.25">
      <c r="A10" s="41" t="str">
        <f>CONCATENATE( "ЛОКАЛЬНАЯ СМЕТА № ",IF(Source!F12&lt;&gt;"Новый объект", Source!F12, ""))</f>
        <v xml:space="preserve">ЛОКАЛЬНАЯ СМЕТА № 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</row>
    <row r="11" spans="1:11" ht="12.75" customHeight="1" x14ac:dyDescent="0.2">
      <c r="A11" s="42" t="s">
        <v>477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</row>
    <row r="12" spans="1:11" ht="14.25" x14ac:dyDescent="0.2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</row>
    <row r="13" spans="1:11" ht="18" hidden="1" customHeight="1" x14ac:dyDescent="0.25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</row>
    <row r="14" spans="1:11" ht="14.25" hidden="1" customHeight="1" x14ac:dyDescent="0.2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</row>
    <row r="15" spans="1:11" ht="18" x14ac:dyDescent="0.25">
      <c r="A15" s="47" t="str">
        <f>IF(Source!G12&lt;&gt;"Новый объект", Source!G12, "")</f>
        <v>Фестивальная площадка_на 4 мес. (10%) испр.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</row>
    <row r="16" spans="1:11" ht="12.75" customHeight="1" x14ac:dyDescent="0.2">
      <c r="A16" s="42" t="s">
        <v>478</v>
      </c>
      <c r="B16" s="42"/>
      <c r="C16" s="42"/>
      <c r="D16" s="42"/>
      <c r="E16" s="42"/>
      <c r="F16" s="42"/>
      <c r="G16" s="42"/>
      <c r="H16" s="42"/>
      <c r="I16" s="42"/>
      <c r="J16" s="42"/>
      <c r="K16" s="42"/>
    </row>
    <row r="17" spans="1:11" ht="14.25" x14ac:dyDescent="0.2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</row>
    <row r="18" spans="1:11" ht="14.25" customHeight="1" x14ac:dyDescent="0.2">
      <c r="A18" s="39" t="str">
        <f>CONCATENATE( "Основание: чертежи № ", Source!J12)</f>
        <v xml:space="preserve">Основание: чертежи № 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</row>
    <row r="19" spans="1:11" ht="14.25" x14ac:dyDescent="0.2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</row>
    <row r="20" spans="1:11" ht="14.25" x14ac:dyDescent="0.2">
      <c r="A20" s="10"/>
      <c r="B20" s="10"/>
      <c r="C20" s="10"/>
      <c r="D20" s="10"/>
      <c r="E20" s="10"/>
      <c r="F20" s="45" t="s">
        <v>479</v>
      </c>
      <c r="G20" s="45"/>
      <c r="H20" s="45"/>
      <c r="I20" s="46">
        <f>I930/1000</f>
        <v>3673.8632499999999</v>
      </c>
      <c r="J20" s="46"/>
      <c r="K20" s="10" t="s">
        <v>480</v>
      </c>
    </row>
    <row r="21" spans="1:11" ht="14.25" hidden="1" customHeight="1" x14ac:dyDescent="0.2">
      <c r="A21" s="10"/>
      <c r="B21" s="10"/>
      <c r="C21" s="10"/>
      <c r="D21" s="10"/>
      <c r="E21" s="10"/>
      <c r="F21" s="45" t="s">
        <v>481</v>
      </c>
      <c r="G21" s="45"/>
      <c r="H21" s="45"/>
      <c r="I21" s="46">
        <f>ROUND((Source!F792)/1000, 2)</f>
        <v>0</v>
      </c>
      <c r="J21" s="46"/>
      <c r="K21" s="10" t="s">
        <v>480</v>
      </c>
    </row>
    <row r="22" spans="1:11" ht="14.25" hidden="1" customHeight="1" x14ac:dyDescent="0.2">
      <c r="A22" s="10"/>
      <c r="B22" s="10"/>
      <c r="C22" s="10"/>
      <c r="D22" s="10"/>
      <c r="E22" s="10"/>
      <c r="F22" s="45" t="s">
        <v>482</v>
      </c>
      <c r="G22" s="45"/>
      <c r="H22" s="45"/>
      <c r="I22" s="46">
        <f>ROUND((Source!F793)/1000, 2)</f>
        <v>0</v>
      </c>
      <c r="J22" s="46"/>
      <c r="K22" s="10" t="s">
        <v>480</v>
      </c>
    </row>
    <row r="23" spans="1:11" ht="14.25" hidden="1" customHeight="1" x14ac:dyDescent="0.2">
      <c r="A23" s="10"/>
      <c r="B23" s="10"/>
      <c r="C23" s="10"/>
      <c r="D23" s="10"/>
      <c r="E23" s="10"/>
      <c r="F23" s="45" t="s">
        <v>483</v>
      </c>
      <c r="G23" s="45"/>
      <c r="H23" s="45"/>
      <c r="I23" s="46">
        <f>ROUND((Source!F784)/1000, 2)</f>
        <v>0</v>
      </c>
      <c r="J23" s="46"/>
      <c r="K23" s="10" t="s">
        <v>480</v>
      </c>
    </row>
    <row r="24" spans="1:11" ht="14.25" hidden="1" customHeight="1" x14ac:dyDescent="0.2">
      <c r="A24" s="10"/>
      <c r="B24" s="10"/>
      <c r="C24" s="10"/>
      <c r="D24" s="10"/>
      <c r="E24" s="10"/>
      <c r="F24" s="45" t="s">
        <v>484</v>
      </c>
      <c r="G24" s="45"/>
      <c r="H24" s="45"/>
      <c r="I24" s="46">
        <f>ROUND((Source!F794+Source!F795)/1000, 2)</f>
        <v>3011.36</v>
      </c>
      <c r="J24" s="46"/>
      <c r="K24" s="10" t="s">
        <v>480</v>
      </c>
    </row>
    <row r="25" spans="1:11" ht="14.25" x14ac:dyDescent="0.2">
      <c r="A25" s="10"/>
      <c r="B25" s="10"/>
      <c r="C25" s="10"/>
      <c r="D25" s="10"/>
      <c r="E25" s="10"/>
      <c r="F25" s="45" t="s">
        <v>485</v>
      </c>
      <c r="G25" s="45"/>
      <c r="H25" s="45"/>
      <c r="I25" s="46">
        <f>(Source!F790+ Source!F789)/1000</f>
        <v>1639.6919600000001</v>
      </c>
      <c r="J25" s="46"/>
      <c r="K25" s="10" t="s">
        <v>480</v>
      </c>
    </row>
    <row r="26" spans="1:11" ht="14.25" x14ac:dyDescent="0.2">
      <c r="A26" s="10" t="s">
        <v>499</v>
      </c>
      <c r="B26" s="10"/>
      <c r="C26" s="10"/>
      <c r="D26" s="14"/>
      <c r="E26" s="15"/>
      <c r="F26" s="10"/>
      <c r="G26" s="10"/>
      <c r="H26" s="10"/>
      <c r="I26" s="10"/>
      <c r="J26" s="10"/>
      <c r="K26" s="10"/>
    </row>
    <row r="27" spans="1:11" ht="14.25" customHeight="1" x14ac:dyDescent="0.2">
      <c r="A27" s="48" t="s">
        <v>486</v>
      </c>
      <c r="B27" s="48" t="s">
        <v>487</v>
      </c>
      <c r="C27" s="48" t="s">
        <v>488</v>
      </c>
      <c r="D27" s="48" t="s">
        <v>489</v>
      </c>
      <c r="E27" s="48" t="s">
        <v>490</v>
      </c>
      <c r="F27" s="48" t="s">
        <v>491</v>
      </c>
      <c r="G27" s="48" t="s">
        <v>492</v>
      </c>
      <c r="H27" s="48" t="s">
        <v>493</v>
      </c>
      <c r="I27" s="48" t="s">
        <v>494</v>
      </c>
      <c r="J27" s="48" t="s">
        <v>495</v>
      </c>
      <c r="K27" s="16" t="s">
        <v>496</v>
      </c>
    </row>
    <row r="28" spans="1:11" ht="28.5" x14ac:dyDescent="0.2">
      <c r="A28" s="49"/>
      <c r="B28" s="49"/>
      <c r="C28" s="49"/>
      <c r="D28" s="49"/>
      <c r="E28" s="49"/>
      <c r="F28" s="49"/>
      <c r="G28" s="49"/>
      <c r="H28" s="49"/>
      <c r="I28" s="49"/>
      <c r="J28" s="49"/>
      <c r="K28" s="17" t="s">
        <v>497</v>
      </c>
    </row>
    <row r="29" spans="1:11" ht="28.5" x14ac:dyDescent="0.2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17" t="s">
        <v>498</v>
      </c>
    </row>
    <row r="30" spans="1:11" ht="14.25" x14ac:dyDescent="0.2">
      <c r="A30" s="17">
        <v>1</v>
      </c>
      <c r="B30" s="17">
        <v>2</v>
      </c>
      <c r="C30" s="17">
        <v>3</v>
      </c>
      <c r="D30" s="17">
        <v>4</v>
      </c>
      <c r="E30" s="17">
        <v>5</v>
      </c>
      <c r="F30" s="17">
        <v>6</v>
      </c>
      <c r="G30" s="17">
        <v>7</v>
      </c>
      <c r="H30" s="17">
        <v>8</v>
      </c>
      <c r="I30" s="17">
        <v>9</v>
      </c>
      <c r="J30" s="17">
        <v>10</v>
      </c>
      <c r="K30" s="17">
        <v>11</v>
      </c>
    </row>
    <row r="32" spans="1:11" ht="16.5" customHeight="1" x14ac:dyDescent="0.25">
      <c r="A32" s="51" t="str">
        <f>CONCATENATE("Локальная смета: ",IF(Source!G20&lt;&gt;"Новая локальная смета", Source!G20, ""))</f>
        <v xml:space="preserve">Локальная смета: </v>
      </c>
      <c r="B32" s="51"/>
      <c r="C32" s="51"/>
      <c r="D32" s="51"/>
      <c r="E32" s="51"/>
      <c r="F32" s="51"/>
      <c r="G32" s="51"/>
      <c r="H32" s="51"/>
      <c r="I32" s="51"/>
      <c r="J32" s="51"/>
      <c r="K32" s="51"/>
    </row>
    <row r="34" spans="1:31" ht="16.5" customHeight="1" x14ac:dyDescent="0.25">
      <c r="A34" s="51" t="str">
        <f>CONCATENATE("Раздел: ",IF(Source!G24&lt;&gt;"Новый раздел", Source!G24, ""))</f>
        <v>Раздел: Туалетные модули (7 шт) по адресу: г. Москва, городское поселение Краснопахорское, квартал 107</v>
      </c>
      <c r="B34" s="51"/>
      <c r="C34" s="51"/>
      <c r="D34" s="51"/>
      <c r="E34" s="51"/>
      <c r="F34" s="51"/>
      <c r="G34" s="51"/>
      <c r="H34" s="51"/>
      <c r="I34" s="51"/>
      <c r="J34" s="51"/>
      <c r="K34" s="51"/>
      <c r="AE34" s="18" t="str">
        <f>CONCATENATE("Раздел: ",IF(Source!G24&lt;&gt;"Новый раздел", Source!G24, ""))</f>
        <v>Раздел: Туалетные модули (7 шт) по адресу: г. Москва, городское поселение Краснопахорское, квартал 107</v>
      </c>
    </row>
    <row r="36" spans="1:31" ht="16.5" customHeight="1" x14ac:dyDescent="0.25">
      <c r="A36" s="51" t="str">
        <f>CONCATENATE("Подраздел: ",IF(Source!G28&lt;&gt;"Новый подраздел", Source!G28, ""))</f>
        <v>Подраздел: Система внутреннего водоснабжения и водоотведения</v>
      </c>
      <c r="B36" s="51"/>
      <c r="C36" s="51"/>
      <c r="D36" s="51"/>
      <c r="E36" s="51"/>
      <c r="F36" s="51"/>
      <c r="G36" s="51"/>
      <c r="H36" s="51"/>
      <c r="I36" s="51"/>
      <c r="J36" s="51"/>
      <c r="K36" s="51"/>
    </row>
    <row r="37" spans="1:31" ht="42.75" x14ac:dyDescent="0.2">
      <c r="A37" s="19">
        <v>1</v>
      </c>
      <c r="B37" s="19" t="str">
        <f>Source!F34</f>
        <v>1.15-2203-7-1/1</v>
      </c>
      <c r="C37" s="19" t="str">
        <f>Source!G34</f>
        <v>Техническое обслуживание крана шарового латунного никелированного диаметром до 25 мм</v>
      </c>
      <c r="D37" s="20" t="str">
        <f>Source!H34</f>
        <v>10 шт.</v>
      </c>
      <c r="E37" s="9">
        <f>Source!I34</f>
        <v>21</v>
      </c>
      <c r="F37" s="22"/>
      <c r="G37" s="21"/>
      <c r="H37" s="9"/>
      <c r="I37" s="9"/>
      <c r="J37" s="22"/>
      <c r="K37" s="22"/>
      <c r="Q37">
        <f>ROUND((Source!BZ34/100)*ROUND((Source!AF34*Source!AV34)*Source!I34, 2), 2)</f>
        <v>4084.69</v>
      </c>
      <c r="R37">
        <f>Source!X34</f>
        <v>4084.69</v>
      </c>
      <c r="S37">
        <f>ROUND((Source!CA34/100)*ROUND((Source!AF34*Source!AV34)*Source!I34, 2), 2)</f>
        <v>583.53</v>
      </c>
      <c r="T37">
        <f>Source!Y34</f>
        <v>583.53</v>
      </c>
      <c r="U37">
        <f>ROUND((175/100)*ROUND((Source!AE34*Source!AV34)*Source!I34, 2), 2)</f>
        <v>0</v>
      </c>
      <c r="V37">
        <f>ROUND((108/100)*ROUND(Source!CS34*Source!I34, 2), 2)</f>
        <v>0</v>
      </c>
    </row>
    <row r="38" spans="1:31" x14ac:dyDescent="0.2">
      <c r="C38" s="23" t="str">
        <f>"Объем: "&amp;Source!I34&amp;"=3*"&amp;"7"</f>
        <v>Объем: 21=3*7</v>
      </c>
    </row>
    <row r="39" spans="1:31" ht="14.25" x14ac:dyDescent="0.2">
      <c r="A39" s="19"/>
      <c r="B39" s="19"/>
      <c r="C39" s="19" t="s">
        <v>500</v>
      </c>
      <c r="D39" s="20"/>
      <c r="E39" s="9"/>
      <c r="F39" s="22">
        <f>Source!AO34</f>
        <v>277.87</v>
      </c>
      <c r="G39" s="21" t="str">
        <f>Source!DG34</f>
        <v/>
      </c>
      <c r="H39" s="9">
        <f>Source!AV34</f>
        <v>1</v>
      </c>
      <c r="I39" s="9">
        <f>IF(Source!BA34&lt;&gt; 0, Source!BA34, 1)</f>
        <v>1</v>
      </c>
      <c r="J39" s="22">
        <f>Source!S34</f>
        <v>5835.27</v>
      </c>
      <c r="K39" s="22"/>
    </row>
    <row r="40" spans="1:31" ht="14.25" x14ac:dyDescent="0.2">
      <c r="A40" s="19"/>
      <c r="B40" s="19"/>
      <c r="C40" s="19" t="s">
        <v>501</v>
      </c>
      <c r="D40" s="20" t="s">
        <v>502</v>
      </c>
      <c r="E40" s="9">
        <f>Source!AT34</f>
        <v>70</v>
      </c>
      <c r="F40" s="22"/>
      <c r="G40" s="21"/>
      <c r="H40" s="9"/>
      <c r="I40" s="9"/>
      <c r="J40" s="22">
        <f>SUM(R37:R39)</f>
        <v>4084.69</v>
      </c>
      <c r="K40" s="22"/>
    </row>
    <row r="41" spans="1:31" ht="14.25" x14ac:dyDescent="0.2">
      <c r="A41" s="19"/>
      <c r="B41" s="19"/>
      <c r="C41" s="19" t="s">
        <v>503</v>
      </c>
      <c r="D41" s="20" t="s">
        <v>502</v>
      </c>
      <c r="E41" s="9">
        <f>Source!AU34</f>
        <v>10</v>
      </c>
      <c r="F41" s="22"/>
      <c r="G41" s="21"/>
      <c r="H41" s="9"/>
      <c r="I41" s="9"/>
      <c r="J41" s="22">
        <f>SUM(T37:T40)</f>
        <v>583.53</v>
      </c>
      <c r="K41" s="22"/>
    </row>
    <row r="42" spans="1:31" ht="14.25" x14ac:dyDescent="0.2">
      <c r="A42" s="19"/>
      <c r="B42" s="19"/>
      <c r="C42" s="19" t="s">
        <v>504</v>
      </c>
      <c r="D42" s="20" t="s">
        <v>505</v>
      </c>
      <c r="E42" s="9">
        <f>Source!AQ34</f>
        <v>0.45</v>
      </c>
      <c r="F42" s="22"/>
      <c r="G42" s="21" t="str">
        <f>Source!DI34</f>
        <v/>
      </c>
      <c r="H42" s="9">
        <f>Source!AV34</f>
        <v>1</v>
      </c>
      <c r="I42" s="9"/>
      <c r="J42" s="22"/>
      <c r="K42" s="22">
        <f>Source!U34</f>
        <v>9.4500000000000011</v>
      </c>
    </row>
    <row r="43" spans="1:31" ht="15" x14ac:dyDescent="0.25">
      <c r="A43" s="25"/>
      <c r="B43" s="25"/>
      <c r="C43" s="25"/>
      <c r="D43" s="25"/>
      <c r="E43" s="25"/>
      <c r="F43" s="25"/>
      <c r="G43" s="25"/>
      <c r="H43" s="25"/>
      <c r="I43" s="52">
        <f>J39+J40+J41</f>
        <v>10503.490000000002</v>
      </c>
      <c r="J43" s="52"/>
      <c r="K43" s="26">
        <f>IF(Source!I34&lt;&gt;0, ROUND(I43/Source!I34, 2), 0)</f>
        <v>500.17</v>
      </c>
      <c r="P43" s="24">
        <f>I43</f>
        <v>10503.490000000002</v>
      </c>
    </row>
    <row r="44" spans="1:31" ht="42.75" x14ac:dyDescent="0.2">
      <c r="A44" s="19">
        <v>2</v>
      </c>
      <c r="B44" s="19" t="str">
        <f>Source!F35</f>
        <v>1.21-2303-24-1/1</v>
      </c>
      <c r="C44" s="19" t="str">
        <f>Source!G35</f>
        <v>Техническое обслуживание электроводонагревателей объемом до 80 литров</v>
      </c>
      <c r="D44" s="20" t="str">
        <f>Source!H35</f>
        <v>шт.</v>
      </c>
      <c r="E44" s="9">
        <f>Source!I35</f>
        <v>14</v>
      </c>
      <c r="F44" s="22"/>
      <c r="G44" s="21"/>
      <c r="H44" s="9"/>
      <c r="I44" s="9"/>
      <c r="J44" s="22"/>
      <c r="K44" s="22"/>
      <c r="Q44">
        <f>ROUND((Source!BZ35/100)*ROUND((Source!AF35*Source!AV35)*Source!I35, 2), 2)</f>
        <v>12191.49</v>
      </c>
      <c r="R44">
        <f>Source!X35</f>
        <v>12191.49</v>
      </c>
      <c r="S44">
        <f>ROUND((Source!CA35/100)*ROUND((Source!AF35*Source!AV35)*Source!I35, 2), 2)</f>
        <v>1741.64</v>
      </c>
      <c r="T44">
        <f>Source!Y35</f>
        <v>1741.64</v>
      </c>
      <c r="U44">
        <f>ROUND((175/100)*ROUND((Source!AE35*Source!AV35)*Source!I35, 2), 2)</f>
        <v>21921.87</v>
      </c>
      <c r="V44">
        <f>ROUND((108/100)*ROUND(Source!CS35*Source!I35, 2), 2)</f>
        <v>13528.92</v>
      </c>
    </row>
    <row r="45" spans="1:31" x14ac:dyDescent="0.2">
      <c r="C45" s="23" t="str">
        <f>"Объем: "&amp;Source!I35&amp;"=2*"&amp;"7"</f>
        <v>Объем: 14=2*7</v>
      </c>
    </row>
    <row r="46" spans="1:31" ht="14.25" x14ac:dyDescent="0.2">
      <c r="A46" s="19"/>
      <c r="B46" s="19"/>
      <c r="C46" s="19" t="s">
        <v>500</v>
      </c>
      <c r="D46" s="20"/>
      <c r="E46" s="9"/>
      <c r="F46" s="22">
        <f>Source!AO35</f>
        <v>1244.03</v>
      </c>
      <c r="G46" s="21" t="str">
        <f>Source!DG35</f>
        <v/>
      </c>
      <c r="H46" s="9">
        <f>Source!AV35</f>
        <v>1</v>
      </c>
      <c r="I46" s="9">
        <f>IF(Source!BA35&lt;&gt; 0, Source!BA35, 1)</f>
        <v>1</v>
      </c>
      <c r="J46" s="22">
        <f>Source!S35</f>
        <v>17416.419999999998</v>
      </c>
      <c r="K46" s="22"/>
    </row>
    <row r="47" spans="1:31" ht="14.25" x14ac:dyDescent="0.2">
      <c r="A47" s="19"/>
      <c r="B47" s="19"/>
      <c r="C47" s="19" t="s">
        <v>506</v>
      </c>
      <c r="D47" s="20"/>
      <c r="E47" s="9"/>
      <c r="F47" s="22">
        <f>Source!AM35</f>
        <v>1411.16</v>
      </c>
      <c r="G47" s="21" t="str">
        <f>Source!DE35</f>
        <v/>
      </c>
      <c r="H47" s="9">
        <f>Source!AV35</f>
        <v>1</v>
      </c>
      <c r="I47" s="9">
        <f>IF(Source!BB35&lt;&gt; 0, Source!BB35, 1)</f>
        <v>1</v>
      </c>
      <c r="J47" s="22">
        <f>Source!Q35</f>
        <v>19756.240000000002</v>
      </c>
      <c r="K47" s="22"/>
    </row>
    <row r="48" spans="1:31" ht="14.25" x14ac:dyDescent="0.2">
      <c r="A48" s="19"/>
      <c r="B48" s="19"/>
      <c r="C48" s="19" t="s">
        <v>507</v>
      </c>
      <c r="D48" s="20"/>
      <c r="E48" s="9"/>
      <c r="F48" s="22">
        <f>Source!AN35</f>
        <v>894.77</v>
      </c>
      <c r="G48" s="21" t="str">
        <f>Source!DF35</f>
        <v/>
      </c>
      <c r="H48" s="9">
        <f>Source!AV35</f>
        <v>1</v>
      </c>
      <c r="I48" s="9">
        <f>IF(Source!BS35&lt;&gt; 0, Source!BS35, 1)</f>
        <v>1</v>
      </c>
      <c r="J48" s="27">
        <f>Source!R35</f>
        <v>12526.78</v>
      </c>
      <c r="K48" s="22"/>
    </row>
    <row r="49" spans="1:22" ht="14.25" x14ac:dyDescent="0.2">
      <c r="A49" s="19"/>
      <c r="B49" s="19"/>
      <c r="C49" s="19" t="s">
        <v>508</v>
      </c>
      <c r="D49" s="20"/>
      <c r="E49" s="9"/>
      <c r="F49" s="22">
        <f>Source!AL35</f>
        <v>0.63</v>
      </c>
      <c r="G49" s="21" t="str">
        <f>Source!DD35</f>
        <v/>
      </c>
      <c r="H49" s="9">
        <f>Source!AW35</f>
        <v>1</v>
      </c>
      <c r="I49" s="9">
        <f>IF(Source!BC35&lt;&gt; 0, Source!BC35, 1)</f>
        <v>1</v>
      </c>
      <c r="J49" s="22">
        <f>Source!P35</f>
        <v>8.82</v>
      </c>
      <c r="K49" s="22"/>
    </row>
    <row r="50" spans="1:22" ht="14.25" x14ac:dyDescent="0.2">
      <c r="A50" s="19"/>
      <c r="B50" s="19"/>
      <c r="C50" s="19" t="s">
        <v>501</v>
      </c>
      <c r="D50" s="20" t="s">
        <v>502</v>
      </c>
      <c r="E50" s="9">
        <f>Source!AT35</f>
        <v>70</v>
      </c>
      <c r="F50" s="22"/>
      <c r="G50" s="21"/>
      <c r="H50" s="9"/>
      <c r="I50" s="9"/>
      <c r="J50" s="22">
        <f>SUM(R44:R49)</f>
        <v>12191.49</v>
      </c>
      <c r="K50" s="22"/>
    </row>
    <row r="51" spans="1:22" ht="14.25" x14ac:dyDescent="0.2">
      <c r="A51" s="19"/>
      <c r="B51" s="19"/>
      <c r="C51" s="19" t="s">
        <v>503</v>
      </c>
      <c r="D51" s="20" t="s">
        <v>502</v>
      </c>
      <c r="E51" s="9">
        <f>Source!AU35</f>
        <v>10</v>
      </c>
      <c r="F51" s="22"/>
      <c r="G51" s="21"/>
      <c r="H51" s="9"/>
      <c r="I51" s="9"/>
      <c r="J51" s="22">
        <f>SUM(T44:T50)</f>
        <v>1741.64</v>
      </c>
      <c r="K51" s="22"/>
    </row>
    <row r="52" spans="1:22" ht="14.25" x14ac:dyDescent="0.2">
      <c r="A52" s="19"/>
      <c r="B52" s="19"/>
      <c r="C52" s="19" t="s">
        <v>509</v>
      </c>
      <c r="D52" s="20" t="s">
        <v>502</v>
      </c>
      <c r="E52" s="9">
        <f>108</f>
        <v>108</v>
      </c>
      <c r="F52" s="22"/>
      <c r="G52" s="21"/>
      <c r="H52" s="9"/>
      <c r="I52" s="9"/>
      <c r="J52" s="22">
        <f>SUM(V44:V51)</f>
        <v>13528.92</v>
      </c>
      <c r="K52" s="22"/>
    </row>
    <row r="53" spans="1:22" ht="14.25" x14ac:dyDescent="0.2">
      <c r="A53" s="19"/>
      <c r="B53" s="19"/>
      <c r="C53" s="19" t="s">
        <v>504</v>
      </c>
      <c r="D53" s="20" t="s">
        <v>505</v>
      </c>
      <c r="E53" s="9">
        <f>Source!AQ35</f>
        <v>1.75</v>
      </c>
      <c r="F53" s="22"/>
      <c r="G53" s="21" t="str">
        <f>Source!DI35</f>
        <v/>
      </c>
      <c r="H53" s="9">
        <f>Source!AV35</f>
        <v>1</v>
      </c>
      <c r="I53" s="9"/>
      <c r="J53" s="22"/>
      <c r="K53" s="22">
        <f>Source!U35</f>
        <v>24.5</v>
      </c>
    </row>
    <row r="54" spans="1:22" ht="15" x14ac:dyDescent="0.25">
      <c r="A54" s="25"/>
      <c r="B54" s="25"/>
      <c r="C54" s="25"/>
      <c r="D54" s="25"/>
      <c r="E54" s="25"/>
      <c r="F54" s="25"/>
      <c r="G54" s="25"/>
      <c r="H54" s="25"/>
      <c r="I54" s="52">
        <f>J46+J47+J49+J50+J51+J52</f>
        <v>64643.53</v>
      </c>
      <c r="J54" s="52"/>
      <c r="K54" s="26">
        <f>IF(Source!I35&lt;&gt;0, ROUND(I54/Source!I35, 2), 0)</f>
        <v>4617.3999999999996</v>
      </c>
      <c r="P54" s="24">
        <f>I54</f>
        <v>64643.53</v>
      </c>
    </row>
    <row r="55" spans="1:22" ht="42.75" x14ac:dyDescent="0.2">
      <c r="A55" s="19">
        <v>3</v>
      </c>
      <c r="B55" s="19" t="str">
        <f>Source!F36</f>
        <v>1.23-2103-41-1/1</v>
      </c>
      <c r="C55" s="19" t="str">
        <f>Source!G36</f>
        <v>Техническое обслуживание регулирующего клапана / Клапан предохранительный Ду 15</v>
      </c>
      <c r="D55" s="20" t="str">
        <f>Source!H36</f>
        <v>шт.</v>
      </c>
      <c r="E55" s="9">
        <f>Source!I36</f>
        <v>14</v>
      </c>
      <c r="F55" s="22"/>
      <c r="G55" s="21"/>
      <c r="H55" s="9"/>
      <c r="I55" s="9"/>
      <c r="J55" s="22"/>
      <c r="K55" s="22"/>
      <c r="Q55">
        <f>ROUND((Source!BZ36/100)*ROUND((Source!AF36*Source!AV36)*Source!I36, 2), 2)</f>
        <v>4076.8</v>
      </c>
      <c r="R55">
        <f>Source!X36</f>
        <v>4076.8</v>
      </c>
      <c r="S55">
        <f>ROUND((Source!CA36/100)*ROUND((Source!AF36*Source!AV36)*Source!I36, 2), 2)</f>
        <v>582.4</v>
      </c>
      <c r="T55">
        <f>Source!Y36</f>
        <v>582.4</v>
      </c>
      <c r="U55">
        <f>ROUND((175/100)*ROUND((Source!AE36*Source!AV36)*Source!I36, 2), 2)</f>
        <v>2428.9299999999998</v>
      </c>
      <c r="V55">
        <f>ROUND((108/100)*ROUND(Source!CS36*Source!I36, 2), 2)</f>
        <v>1499</v>
      </c>
    </row>
    <row r="56" spans="1:22" x14ac:dyDescent="0.2">
      <c r="C56" s="23" t="str">
        <f>"Объем: "&amp;Source!I36&amp;"=2*"&amp;"7"</f>
        <v>Объем: 14=2*7</v>
      </c>
    </row>
    <row r="57" spans="1:22" ht="14.25" x14ac:dyDescent="0.2">
      <c r="A57" s="19"/>
      <c r="B57" s="19"/>
      <c r="C57" s="19" t="s">
        <v>500</v>
      </c>
      <c r="D57" s="20"/>
      <c r="E57" s="9"/>
      <c r="F57" s="22">
        <f>Source!AO36</f>
        <v>208</v>
      </c>
      <c r="G57" s="21" t="str">
        <f>Source!DG36</f>
        <v>)*2</v>
      </c>
      <c r="H57" s="9">
        <f>Source!AV36</f>
        <v>1</v>
      </c>
      <c r="I57" s="9">
        <f>IF(Source!BA36&lt;&gt; 0, Source!BA36, 1)</f>
        <v>1</v>
      </c>
      <c r="J57" s="22">
        <f>Source!S36</f>
        <v>5824</v>
      </c>
      <c r="K57" s="22"/>
    </row>
    <row r="58" spans="1:22" ht="14.25" x14ac:dyDescent="0.2">
      <c r="A58" s="19"/>
      <c r="B58" s="19"/>
      <c r="C58" s="19" t="s">
        <v>506</v>
      </c>
      <c r="D58" s="20"/>
      <c r="E58" s="9"/>
      <c r="F58" s="22">
        <f>Source!AM36</f>
        <v>78.180000000000007</v>
      </c>
      <c r="G58" s="21" t="str">
        <f>Source!DE36</f>
        <v>)*2</v>
      </c>
      <c r="H58" s="9">
        <f>Source!AV36</f>
        <v>1</v>
      </c>
      <c r="I58" s="9">
        <f>IF(Source!BB36&lt;&gt; 0, Source!BB36, 1)</f>
        <v>1</v>
      </c>
      <c r="J58" s="22">
        <f>Source!Q36</f>
        <v>2189.04</v>
      </c>
      <c r="K58" s="22"/>
    </row>
    <row r="59" spans="1:22" ht="14.25" x14ac:dyDescent="0.2">
      <c r="A59" s="19"/>
      <c r="B59" s="19"/>
      <c r="C59" s="19" t="s">
        <v>507</v>
      </c>
      <c r="D59" s="20"/>
      <c r="E59" s="9"/>
      <c r="F59" s="22">
        <f>Source!AN36</f>
        <v>49.57</v>
      </c>
      <c r="G59" s="21" t="str">
        <f>Source!DF36</f>
        <v>)*2</v>
      </c>
      <c r="H59" s="9">
        <f>Source!AV36</f>
        <v>1</v>
      </c>
      <c r="I59" s="9">
        <f>IF(Source!BS36&lt;&gt; 0, Source!BS36, 1)</f>
        <v>1</v>
      </c>
      <c r="J59" s="27">
        <f>Source!R36</f>
        <v>1387.96</v>
      </c>
      <c r="K59" s="22"/>
    </row>
    <row r="60" spans="1:22" ht="14.25" x14ac:dyDescent="0.2">
      <c r="A60" s="19"/>
      <c r="B60" s="19"/>
      <c r="C60" s="19" t="s">
        <v>501</v>
      </c>
      <c r="D60" s="20" t="s">
        <v>502</v>
      </c>
      <c r="E60" s="9">
        <f>Source!AT36</f>
        <v>70</v>
      </c>
      <c r="F60" s="22"/>
      <c r="G60" s="21"/>
      <c r="H60" s="9"/>
      <c r="I60" s="9"/>
      <c r="J60" s="22">
        <f>SUM(R55:R59)</f>
        <v>4076.8</v>
      </c>
      <c r="K60" s="22"/>
    </row>
    <row r="61" spans="1:22" ht="14.25" x14ac:dyDescent="0.2">
      <c r="A61" s="19"/>
      <c r="B61" s="19"/>
      <c r="C61" s="19" t="s">
        <v>503</v>
      </c>
      <c r="D61" s="20" t="s">
        <v>502</v>
      </c>
      <c r="E61" s="9">
        <f>Source!AU36</f>
        <v>10</v>
      </c>
      <c r="F61" s="22"/>
      <c r="G61" s="21"/>
      <c r="H61" s="9"/>
      <c r="I61" s="9"/>
      <c r="J61" s="22">
        <f>SUM(T55:T60)</f>
        <v>582.4</v>
      </c>
      <c r="K61" s="22"/>
    </row>
    <row r="62" spans="1:22" ht="14.25" x14ac:dyDescent="0.2">
      <c r="A62" s="19"/>
      <c r="B62" s="19"/>
      <c r="C62" s="19" t="s">
        <v>509</v>
      </c>
      <c r="D62" s="20" t="s">
        <v>502</v>
      </c>
      <c r="E62" s="9">
        <f>108</f>
        <v>108</v>
      </c>
      <c r="F62" s="22"/>
      <c r="G62" s="21"/>
      <c r="H62" s="9"/>
      <c r="I62" s="9"/>
      <c r="J62" s="22">
        <f>SUM(V55:V61)</f>
        <v>1499</v>
      </c>
      <c r="K62" s="22"/>
    </row>
    <row r="63" spans="1:22" ht="14.25" x14ac:dyDescent="0.2">
      <c r="A63" s="19"/>
      <c r="B63" s="19"/>
      <c r="C63" s="19" t="s">
        <v>504</v>
      </c>
      <c r="D63" s="20" t="s">
        <v>505</v>
      </c>
      <c r="E63" s="9">
        <f>Source!AQ36</f>
        <v>0.37</v>
      </c>
      <c r="F63" s="22"/>
      <c r="G63" s="21" t="str">
        <f>Source!DI36</f>
        <v>)*2</v>
      </c>
      <c r="H63" s="9">
        <f>Source!AV36</f>
        <v>1</v>
      </c>
      <c r="I63" s="9"/>
      <c r="J63" s="22"/>
      <c r="K63" s="22">
        <f>Source!U36</f>
        <v>10.36</v>
      </c>
    </row>
    <row r="64" spans="1:22" ht="15" x14ac:dyDescent="0.25">
      <c r="A64" s="25"/>
      <c r="B64" s="25"/>
      <c r="C64" s="25"/>
      <c r="D64" s="25"/>
      <c r="E64" s="25"/>
      <c r="F64" s="25"/>
      <c r="G64" s="25"/>
      <c r="H64" s="25"/>
      <c r="I64" s="52">
        <f>J57+J58+J60+J61+J62</f>
        <v>14171.24</v>
      </c>
      <c r="J64" s="52"/>
      <c r="K64" s="26">
        <f>IF(Source!I36&lt;&gt;0, ROUND(I64/Source!I36, 2), 0)</f>
        <v>1012.23</v>
      </c>
      <c r="P64" s="24">
        <f>I64</f>
        <v>14171.24</v>
      </c>
    </row>
    <row r="65" spans="1:22" ht="28.5" x14ac:dyDescent="0.2">
      <c r="A65" s="19">
        <v>4</v>
      </c>
      <c r="B65" s="19" t="str">
        <f>Source!F39</f>
        <v>1.16-3201-2-1/1</v>
      </c>
      <c r="C65" s="19" t="str">
        <f>Source!G39</f>
        <v>Укрепление расшатавшихся санитарно-технических приборов - умывальники</v>
      </c>
      <c r="D65" s="20" t="str">
        <f>Source!H39</f>
        <v>100 шт.</v>
      </c>
      <c r="E65" s="9">
        <f>Source!I39</f>
        <v>1.26</v>
      </c>
      <c r="F65" s="22"/>
      <c r="G65" s="21"/>
      <c r="H65" s="9"/>
      <c r="I65" s="9"/>
      <c r="J65" s="22"/>
      <c r="K65" s="22"/>
      <c r="Q65">
        <f>ROUND((Source!BZ39/100)*ROUND((Source!AF39*Source!AV39)*Source!I39, 2), 2)</f>
        <v>46689.03</v>
      </c>
      <c r="R65">
        <f>Source!X39</f>
        <v>46689.03</v>
      </c>
      <c r="S65">
        <f>ROUND((Source!CA39/100)*ROUND((Source!AF39*Source!AV39)*Source!I39, 2), 2)</f>
        <v>6669.86</v>
      </c>
      <c r="T65">
        <f>Source!Y39</f>
        <v>6669.86</v>
      </c>
      <c r="U65">
        <f>ROUND((175/100)*ROUND((Source!AE39*Source!AV39)*Source!I39, 2), 2)</f>
        <v>1.54</v>
      </c>
      <c r="V65">
        <f>ROUND((108/100)*ROUND(Source!CS39*Source!I39, 2), 2)</f>
        <v>0.95</v>
      </c>
    </row>
    <row r="66" spans="1:22" x14ac:dyDescent="0.2">
      <c r="C66" s="23" t="str">
        <f>"Объем: "&amp;Source!I39&amp;"=(18)*"&amp;"7/"&amp;"100"</f>
        <v>Объем: 1,26=(18)*7/100</v>
      </c>
    </row>
    <row r="67" spans="1:22" ht="14.25" x14ac:dyDescent="0.2">
      <c r="A67" s="19"/>
      <c r="B67" s="19"/>
      <c r="C67" s="19" t="s">
        <v>500</v>
      </c>
      <c r="D67" s="20"/>
      <c r="E67" s="9"/>
      <c r="F67" s="22">
        <f>Source!AO39</f>
        <v>52935.41</v>
      </c>
      <c r="G67" s="21" t="str">
        <f>Source!DG39</f>
        <v/>
      </c>
      <c r="H67" s="9">
        <f>Source!AV39</f>
        <v>1</v>
      </c>
      <c r="I67" s="9">
        <f>IF(Source!BA39&lt;&gt; 0, Source!BA39, 1)</f>
        <v>1</v>
      </c>
      <c r="J67" s="22">
        <f>Source!S39</f>
        <v>66698.62</v>
      </c>
      <c r="K67" s="22"/>
    </row>
    <row r="68" spans="1:22" ht="14.25" x14ac:dyDescent="0.2">
      <c r="A68" s="19"/>
      <c r="B68" s="19"/>
      <c r="C68" s="19" t="s">
        <v>506</v>
      </c>
      <c r="D68" s="20"/>
      <c r="E68" s="9"/>
      <c r="F68" s="22">
        <f>Source!AM39</f>
        <v>61.83</v>
      </c>
      <c r="G68" s="21" t="str">
        <f>Source!DE39</f>
        <v/>
      </c>
      <c r="H68" s="9">
        <f>Source!AV39</f>
        <v>1</v>
      </c>
      <c r="I68" s="9">
        <f>IF(Source!BB39&lt;&gt; 0, Source!BB39, 1)</f>
        <v>1</v>
      </c>
      <c r="J68" s="22">
        <f>Source!Q39</f>
        <v>77.91</v>
      </c>
      <c r="K68" s="22"/>
    </row>
    <row r="69" spans="1:22" ht="14.25" x14ac:dyDescent="0.2">
      <c r="A69" s="19"/>
      <c r="B69" s="19"/>
      <c r="C69" s="19" t="s">
        <v>507</v>
      </c>
      <c r="D69" s="20"/>
      <c r="E69" s="9"/>
      <c r="F69" s="22">
        <f>Source!AN39</f>
        <v>0.7</v>
      </c>
      <c r="G69" s="21" t="str">
        <f>Source!DF39</f>
        <v/>
      </c>
      <c r="H69" s="9">
        <f>Source!AV39</f>
        <v>1</v>
      </c>
      <c r="I69" s="9">
        <f>IF(Source!BS39&lt;&gt; 0, Source!BS39, 1)</f>
        <v>1</v>
      </c>
      <c r="J69" s="27">
        <f>Source!R39</f>
        <v>0.88</v>
      </c>
      <c r="K69" s="22"/>
    </row>
    <row r="70" spans="1:22" ht="14.25" x14ac:dyDescent="0.2">
      <c r="A70" s="19"/>
      <c r="B70" s="19"/>
      <c r="C70" s="19" t="s">
        <v>508</v>
      </c>
      <c r="D70" s="20"/>
      <c r="E70" s="9"/>
      <c r="F70" s="22">
        <f>Source!AL39</f>
        <v>776.55</v>
      </c>
      <c r="G70" s="21" t="str">
        <f>Source!DD39</f>
        <v/>
      </c>
      <c r="H70" s="9">
        <f>Source!AW39</f>
        <v>1</v>
      </c>
      <c r="I70" s="9">
        <f>IF(Source!BC39&lt;&gt; 0, Source!BC39, 1)</f>
        <v>1</v>
      </c>
      <c r="J70" s="22">
        <f>Source!P39</f>
        <v>978.45</v>
      </c>
      <c r="K70" s="22"/>
    </row>
    <row r="71" spans="1:22" ht="14.25" x14ac:dyDescent="0.2">
      <c r="A71" s="19"/>
      <c r="B71" s="19"/>
      <c r="C71" s="19" t="s">
        <v>501</v>
      </c>
      <c r="D71" s="20" t="s">
        <v>502</v>
      </c>
      <c r="E71" s="9">
        <f>Source!AT39</f>
        <v>70</v>
      </c>
      <c r="F71" s="22"/>
      <c r="G71" s="21"/>
      <c r="H71" s="9"/>
      <c r="I71" s="9"/>
      <c r="J71" s="22">
        <f>SUM(R65:R70)</f>
        <v>46689.03</v>
      </c>
      <c r="K71" s="22"/>
    </row>
    <row r="72" spans="1:22" ht="14.25" x14ac:dyDescent="0.2">
      <c r="A72" s="19"/>
      <c r="B72" s="19"/>
      <c r="C72" s="19" t="s">
        <v>503</v>
      </c>
      <c r="D72" s="20" t="s">
        <v>502</v>
      </c>
      <c r="E72" s="9">
        <f>Source!AU39</f>
        <v>10</v>
      </c>
      <c r="F72" s="22"/>
      <c r="G72" s="21"/>
      <c r="H72" s="9"/>
      <c r="I72" s="9"/>
      <c r="J72" s="22">
        <f>SUM(T65:T71)</f>
        <v>6669.86</v>
      </c>
      <c r="K72" s="22"/>
    </row>
    <row r="73" spans="1:22" ht="14.25" x14ac:dyDescent="0.2">
      <c r="A73" s="19"/>
      <c r="B73" s="19"/>
      <c r="C73" s="19" t="s">
        <v>509</v>
      </c>
      <c r="D73" s="20" t="s">
        <v>502</v>
      </c>
      <c r="E73" s="9">
        <f>108</f>
        <v>108</v>
      </c>
      <c r="F73" s="22"/>
      <c r="G73" s="21"/>
      <c r="H73" s="9"/>
      <c r="I73" s="9"/>
      <c r="J73" s="22">
        <f>SUM(V65:V72)</f>
        <v>0.95</v>
      </c>
      <c r="K73" s="22"/>
    </row>
    <row r="74" spans="1:22" ht="14.25" x14ac:dyDescent="0.2">
      <c r="A74" s="19"/>
      <c r="B74" s="19"/>
      <c r="C74" s="19" t="s">
        <v>504</v>
      </c>
      <c r="D74" s="20" t="s">
        <v>505</v>
      </c>
      <c r="E74" s="9">
        <f>Source!AQ39</f>
        <v>104.44</v>
      </c>
      <c r="F74" s="22"/>
      <c r="G74" s="21" t="str">
        <f>Source!DI39</f>
        <v/>
      </c>
      <c r="H74" s="9">
        <f>Source!AV39</f>
        <v>1</v>
      </c>
      <c r="I74" s="9"/>
      <c r="J74" s="22"/>
      <c r="K74" s="22">
        <f>Source!U39</f>
        <v>131.59440000000001</v>
      </c>
    </row>
    <row r="75" spans="1:22" ht="15" x14ac:dyDescent="0.25">
      <c r="A75" s="25"/>
      <c r="B75" s="25"/>
      <c r="C75" s="25"/>
      <c r="D75" s="25"/>
      <c r="E75" s="25"/>
      <c r="F75" s="25"/>
      <c r="G75" s="25"/>
      <c r="H75" s="25"/>
      <c r="I75" s="52">
        <f>J67+J68+J70+J71+J72+J73</f>
        <v>121114.81999999999</v>
      </c>
      <c r="J75" s="52"/>
      <c r="K75" s="26">
        <f>IF(Source!I39&lt;&gt;0, ROUND(I75/Source!I39, 2), 0)</f>
        <v>96122.87</v>
      </c>
      <c r="P75" s="24">
        <f>I75</f>
        <v>121114.81999999999</v>
      </c>
    </row>
    <row r="76" spans="1:22" ht="42.75" x14ac:dyDescent="0.2">
      <c r="A76" s="19">
        <v>5</v>
      </c>
      <c r="B76" s="19" t="str">
        <f>Source!F40</f>
        <v>1.16-3201-2-2/1</v>
      </c>
      <c r="C76" s="19" t="str">
        <f>Source!G40</f>
        <v>Укрепление расшатавшихся санитарно-технических приборов - унитазы и биде</v>
      </c>
      <c r="D76" s="20" t="str">
        <f>Source!H40</f>
        <v>100 шт.</v>
      </c>
      <c r="E76" s="9">
        <f>Source!I40</f>
        <v>0.91</v>
      </c>
      <c r="F76" s="22"/>
      <c r="G76" s="21"/>
      <c r="H76" s="9"/>
      <c r="I76" s="9"/>
      <c r="J76" s="22"/>
      <c r="K76" s="22"/>
      <c r="Q76">
        <f>ROUND((Source!BZ40/100)*ROUND((Source!AF40*Source!AV40)*Source!I40, 2), 2)</f>
        <v>49052.65</v>
      </c>
      <c r="R76">
        <f>Source!X40</f>
        <v>49052.65</v>
      </c>
      <c r="S76">
        <f>ROUND((Source!CA40/100)*ROUND((Source!AF40*Source!AV40)*Source!I40, 2), 2)</f>
        <v>7007.52</v>
      </c>
      <c r="T76">
        <f>Source!Y40</f>
        <v>7007.52</v>
      </c>
      <c r="U76">
        <f>ROUND((175/100)*ROUND((Source!AE40*Source!AV40)*Source!I40, 2), 2)</f>
        <v>1.1200000000000001</v>
      </c>
      <c r="V76">
        <f>ROUND((108/100)*ROUND(Source!CS40*Source!I40, 2), 2)</f>
        <v>0.69</v>
      </c>
    </row>
    <row r="77" spans="1:22" x14ac:dyDescent="0.2">
      <c r="C77" s="23" t="str">
        <f>"Объем: "&amp;Source!I40&amp;"=(13)*"&amp;"7/"&amp;"100"</f>
        <v>Объем: 0,91=(13)*7/100</v>
      </c>
    </row>
    <row r="78" spans="1:22" ht="14.25" x14ac:dyDescent="0.2">
      <c r="A78" s="19"/>
      <c r="B78" s="19"/>
      <c r="C78" s="19" t="s">
        <v>500</v>
      </c>
      <c r="D78" s="20"/>
      <c r="E78" s="9"/>
      <c r="F78" s="22">
        <f>Source!AO40</f>
        <v>77005.72</v>
      </c>
      <c r="G78" s="21" t="str">
        <f>Source!DG40</f>
        <v/>
      </c>
      <c r="H78" s="9">
        <f>Source!AV40</f>
        <v>1</v>
      </c>
      <c r="I78" s="9">
        <f>IF(Source!BA40&lt;&gt; 0, Source!BA40, 1)</f>
        <v>1</v>
      </c>
      <c r="J78" s="22">
        <f>Source!S40</f>
        <v>70075.210000000006</v>
      </c>
      <c r="K78" s="22"/>
    </row>
    <row r="79" spans="1:22" ht="14.25" x14ac:dyDescent="0.2">
      <c r="A79" s="19"/>
      <c r="B79" s="19"/>
      <c r="C79" s="19" t="s">
        <v>506</v>
      </c>
      <c r="D79" s="20"/>
      <c r="E79" s="9"/>
      <c r="F79" s="22">
        <f>Source!AM40</f>
        <v>61.83</v>
      </c>
      <c r="G79" s="21" t="str">
        <f>Source!DE40</f>
        <v/>
      </c>
      <c r="H79" s="9">
        <f>Source!AV40</f>
        <v>1</v>
      </c>
      <c r="I79" s="9">
        <f>IF(Source!BB40&lt;&gt; 0, Source!BB40, 1)</f>
        <v>1</v>
      </c>
      <c r="J79" s="22">
        <f>Source!Q40</f>
        <v>56.27</v>
      </c>
      <c r="K79" s="22"/>
    </row>
    <row r="80" spans="1:22" ht="14.25" x14ac:dyDescent="0.2">
      <c r="A80" s="19"/>
      <c r="B80" s="19"/>
      <c r="C80" s="19" t="s">
        <v>507</v>
      </c>
      <c r="D80" s="20"/>
      <c r="E80" s="9"/>
      <c r="F80" s="22">
        <f>Source!AN40</f>
        <v>0.7</v>
      </c>
      <c r="G80" s="21" t="str">
        <f>Source!DF40</f>
        <v/>
      </c>
      <c r="H80" s="9">
        <f>Source!AV40</f>
        <v>1</v>
      </c>
      <c r="I80" s="9">
        <f>IF(Source!BS40&lt;&gt; 0, Source!BS40, 1)</f>
        <v>1</v>
      </c>
      <c r="J80" s="27">
        <f>Source!R40</f>
        <v>0.64</v>
      </c>
      <c r="K80" s="22"/>
    </row>
    <row r="81" spans="1:22" ht="14.25" x14ac:dyDescent="0.2">
      <c r="A81" s="19"/>
      <c r="B81" s="19"/>
      <c r="C81" s="19" t="s">
        <v>508</v>
      </c>
      <c r="D81" s="20"/>
      <c r="E81" s="9"/>
      <c r="F81" s="22">
        <f>Source!AL40</f>
        <v>776.55</v>
      </c>
      <c r="G81" s="21" t="str">
        <f>Source!DD40</f>
        <v/>
      </c>
      <c r="H81" s="9">
        <f>Source!AW40</f>
        <v>1</v>
      </c>
      <c r="I81" s="9">
        <f>IF(Source!BC40&lt;&gt; 0, Source!BC40, 1)</f>
        <v>1</v>
      </c>
      <c r="J81" s="22">
        <f>Source!P40</f>
        <v>706.66</v>
      </c>
      <c r="K81" s="22"/>
    </row>
    <row r="82" spans="1:22" ht="14.25" x14ac:dyDescent="0.2">
      <c r="A82" s="19"/>
      <c r="B82" s="19"/>
      <c r="C82" s="19" t="s">
        <v>501</v>
      </c>
      <c r="D82" s="20" t="s">
        <v>502</v>
      </c>
      <c r="E82" s="9">
        <f>Source!AT40</f>
        <v>70</v>
      </c>
      <c r="F82" s="22"/>
      <c r="G82" s="21"/>
      <c r="H82" s="9"/>
      <c r="I82" s="9"/>
      <c r="J82" s="22">
        <f>SUM(R76:R81)</f>
        <v>49052.65</v>
      </c>
      <c r="K82" s="22"/>
    </row>
    <row r="83" spans="1:22" ht="14.25" x14ac:dyDescent="0.2">
      <c r="A83" s="19"/>
      <c r="B83" s="19"/>
      <c r="C83" s="19" t="s">
        <v>503</v>
      </c>
      <c r="D83" s="20" t="s">
        <v>502</v>
      </c>
      <c r="E83" s="9">
        <f>Source!AU40</f>
        <v>10</v>
      </c>
      <c r="F83" s="22"/>
      <c r="G83" s="21"/>
      <c r="H83" s="9"/>
      <c r="I83" s="9"/>
      <c r="J83" s="22">
        <f>SUM(T76:T82)</f>
        <v>7007.52</v>
      </c>
      <c r="K83" s="22"/>
    </row>
    <row r="84" spans="1:22" ht="14.25" x14ac:dyDescent="0.2">
      <c r="A84" s="19"/>
      <c r="B84" s="19"/>
      <c r="C84" s="19" t="s">
        <v>509</v>
      </c>
      <c r="D84" s="20" t="s">
        <v>502</v>
      </c>
      <c r="E84" s="9">
        <f>108</f>
        <v>108</v>
      </c>
      <c r="F84" s="22"/>
      <c r="G84" s="21"/>
      <c r="H84" s="9"/>
      <c r="I84" s="9"/>
      <c r="J84" s="22">
        <f>SUM(V76:V83)</f>
        <v>0.69</v>
      </c>
      <c r="K84" s="22"/>
    </row>
    <row r="85" spans="1:22" ht="14.25" x14ac:dyDescent="0.2">
      <c r="A85" s="19"/>
      <c r="B85" s="19"/>
      <c r="C85" s="19" t="s">
        <v>504</v>
      </c>
      <c r="D85" s="20" t="s">
        <v>505</v>
      </c>
      <c r="E85" s="9">
        <f>Source!AQ40</f>
        <v>151.93</v>
      </c>
      <c r="F85" s="22"/>
      <c r="G85" s="21" t="str">
        <f>Source!DI40</f>
        <v/>
      </c>
      <c r="H85" s="9">
        <f>Source!AV40</f>
        <v>1</v>
      </c>
      <c r="I85" s="9"/>
      <c r="J85" s="22"/>
      <c r="K85" s="22">
        <f>Source!U40</f>
        <v>138.25630000000001</v>
      </c>
    </row>
    <row r="86" spans="1:22" ht="15" x14ac:dyDescent="0.25">
      <c r="A86" s="25"/>
      <c r="B86" s="25"/>
      <c r="C86" s="25"/>
      <c r="D86" s="25"/>
      <c r="E86" s="25"/>
      <c r="F86" s="25"/>
      <c r="G86" s="25"/>
      <c r="H86" s="25"/>
      <c r="I86" s="52">
        <f>J78+J79+J81+J82+J83+J84</f>
        <v>126899.00000000001</v>
      </c>
      <c r="J86" s="52"/>
      <c r="K86" s="26">
        <f>IF(Source!I40&lt;&gt;0, ROUND(I86/Source!I40, 2), 0)</f>
        <v>139449.45000000001</v>
      </c>
      <c r="P86" s="24">
        <f>I86</f>
        <v>126899.00000000001</v>
      </c>
    </row>
    <row r="87" spans="1:22" ht="28.5" x14ac:dyDescent="0.2">
      <c r="A87" s="19">
        <v>6</v>
      </c>
      <c r="B87" s="19" t="str">
        <f>Source!F41</f>
        <v>1.16-3201-2-3/1</v>
      </c>
      <c r="C87" s="19" t="str">
        <f>Source!G41</f>
        <v>Укрепление расшатавшихся санитарно-технических приборов - писсуары</v>
      </c>
      <c r="D87" s="20" t="str">
        <f>Source!H41</f>
        <v>100 шт.</v>
      </c>
      <c r="E87" s="9">
        <f>Source!I41</f>
        <v>0.14000000000000001</v>
      </c>
      <c r="F87" s="22"/>
      <c r="G87" s="21"/>
      <c r="H87" s="9"/>
      <c r="I87" s="9"/>
      <c r="J87" s="22"/>
      <c r="K87" s="22"/>
      <c r="Q87">
        <f>ROUND((Source!BZ41/100)*ROUND((Source!AF41*Source!AV41)*Source!I41, 2), 2)</f>
        <v>5587.03</v>
      </c>
      <c r="R87">
        <f>Source!X41</f>
        <v>5587.03</v>
      </c>
      <c r="S87">
        <f>ROUND((Source!CA41/100)*ROUND((Source!AF41*Source!AV41)*Source!I41, 2), 2)</f>
        <v>798.15</v>
      </c>
      <c r="T87">
        <f>Source!Y41</f>
        <v>798.15</v>
      </c>
      <c r="U87">
        <f>ROUND((175/100)*ROUND((Source!AE41*Source!AV41)*Source!I41, 2), 2)</f>
        <v>0.18</v>
      </c>
      <c r="V87">
        <f>ROUND((108/100)*ROUND(Source!CS41*Source!I41, 2), 2)</f>
        <v>0.11</v>
      </c>
    </row>
    <row r="88" spans="1:22" x14ac:dyDescent="0.2">
      <c r="C88" s="23" t="str">
        <f>"Объем: "&amp;Source!I41&amp;"=2*"&amp;"7/"&amp;"100"</f>
        <v>Объем: 0,14=2*7/100</v>
      </c>
    </row>
    <row r="89" spans="1:22" ht="14.25" x14ac:dyDescent="0.2">
      <c r="A89" s="19"/>
      <c r="B89" s="19"/>
      <c r="C89" s="19" t="s">
        <v>500</v>
      </c>
      <c r="D89" s="20"/>
      <c r="E89" s="9"/>
      <c r="F89" s="22">
        <f>Source!AO41</f>
        <v>57010.49</v>
      </c>
      <c r="G89" s="21" t="str">
        <f>Source!DG41</f>
        <v/>
      </c>
      <c r="H89" s="9">
        <f>Source!AV41</f>
        <v>1</v>
      </c>
      <c r="I89" s="9">
        <f>IF(Source!BA41&lt;&gt; 0, Source!BA41, 1)</f>
        <v>1</v>
      </c>
      <c r="J89" s="22">
        <f>Source!S41</f>
        <v>7981.47</v>
      </c>
      <c r="K89" s="22"/>
    </row>
    <row r="90" spans="1:22" ht="14.25" x14ac:dyDescent="0.2">
      <c r="A90" s="19"/>
      <c r="B90" s="19"/>
      <c r="C90" s="19" t="s">
        <v>506</v>
      </c>
      <c r="D90" s="20"/>
      <c r="E90" s="9"/>
      <c r="F90" s="22">
        <f>Source!AM41</f>
        <v>61.83</v>
      </c>
      <c r="G90" s="21" t="str">
        <f>Source!DE41</f>
        <v/>
      </c>
      <c r="H90" s="9">
        <f>Source!AV41</f>
        <v>1</v>
      </c>
      <c r="I90" s="9">
        <f>IF(Source!BB41&lt;&gt; 0, Source!BB41, 1)</f>
        <v>1</v>
      </c>
      <c r="J90" s="22">
        <f>Source!Q41</f>
        <v>8.66</v>
      </c>
      <c r="K90" s="22"/>
    </row>
    <row r="91" spans="1:22" ht="14.25" x14ac:dyDescent="0.2">
      <c r="A91" s="19"/>
      <c r="B91" s="19"/>
      <c r="C91" s="19" t="s">
        <v>507</v>
      </c>
      <c r="D91" s="20"/>
      <c r="E91" s="9"/>
      <c r="F91" s="22">
        <f>Source!AN41</f>
        <v>0.7</v>
      </c>
      <c r="G91" s="21" t="str">
        <f>Source!DF41</f>
        <v/>
      </c>
      <c r="H91" s="9">
        <f>Source!AV41</f>
        <v>1</v>
      </c>
      <c r="I91" s="9">
        <f>IF(Source!BS41&lt;&gt; 0, Source!BS41, 1)</f>
        <v>1</v>
      </c>
      <c r="J91" s="27">
        <f>Source!R41</f>
        <v>0.1</v>
      </c>
      <c r="K91" s="22"/>
    </row>
    <row r="92" spans="1:22" ht="14.25" x14ac:dyDescent="0.2">
      <c r="A92" s="19"/>
      <c r="B92" s="19"/>
      <c r="C92" s="19" t="s">
        <v>508</v>
      </c>
      <c r="D92" s="20"/>
      <c r="E92" s="9"/>
      <c r="F92" s="22">
        <f>Source!AL41</f>
        <v>776.55</v>
      </c>
      <c r="G92" s="21" t="str">
        <f>Source!DD41</f>
        <v/>
      </c>
      <c r="H92" s="9">
        <f>Source!AW41</f>
        <v>1</v>
      </c>
      <c r="I92" s="9">
        <f>IF(Source!BC41&lt;&gt; 0, Source!BC41, 1)</f>
        <v>1</v>
      </c>
      <c r="J92" s="22">
        <f>Source!P41</f>
        <v>108.72</v>
      </c>
      <c r="K92" s="22"/>
    </row>
    <row r="93" spans="1:22" ht="14.25" x14ac:dyDescent="0.2">
      <c r="A93" s="19"/>
      <c r="B93" s="19"/>
      <c r="C93" s="19" t="s">
        <v>501</v>
      </c>
      <c r="D93" s="20" t="s">
        <v>502</v>
      </c>
      <c r="E93" s="9">
        <f>Source!AT41</f>
        <v>70</v>
      </c>
      <c r="F93" s="22"/>
      <c r="G93" s="21"/>
      <c r="H93" s="9"/>
      <c r="I93" s="9"/>
      <c r="J93" s="22">
        <f>SUM(R87:R92)</f>
        <v>5587.03</v>
      </c>
      <c r="K93" s="22"/>
    </row>
    <row r="94" spans="1:22" ht="14.25" x14ac:dyDescent="0.2">
      <c r="A94" s="19"/>
      <c r="B94" s="19"/>
      <c r="C94" s="19" t="s">
        <v>503</v>
      </c>
      <c r="D94" s="20" t="s">
        <v>502</v>
      </c>
      <c r="E94" s="9">
        <f>Source!AU41</f>
        <v>10</v>
      </c>
      <c r="F94" s="22"/>
      <c r="G94" s="21"/>
      <c r="H94" s="9"/>
      <c r="I94" s="9"/>
      <c r="J94" s="22">
        <f>SUM(T87:T93)</f>
        <v>798.15</v>
      </c>
      <c r="K94" s="22"/>
    </row>
    <row r="95" spans="1:22" ht="14.25" x14ac:dyDescent="0.2">
      <c r="A95" s="19"/>
      <c r="B95" s="19"/>
      <c r="C95" s="19" t="s">
        <v>509</v>
      </c>
      <c r="D95" s="20" t="s">
        <v>502</v>
      </c>
      <c r="E95" s="9">
        <f>108</f>
        <v>108</v>
      </c>
      <c r="F95" s="22"/>
      <c r="G95" s="21"/>
      <c r="H95" s="9"/>
      <c r="I95" s="9"/>
      <c r="J95" s="22">
        <f>SUM(V87:V94)</f>
        <v>0.11</v>
      </c>
      <c r="K95" s="22"/>
    </row>
    <row r="96" spans="1:22" ht="14.25" x14ac:dyDescent="0.2">
      <c r="A96" s="19"/>
      <c r="B96" s="19"/>
      <c r="C96" s="19" t="s">
        <v>504</v>
      </c>
      <c r="D96" s="20" t="s">
        <v>505</v>
      </c>
      <c r="E96" s="9">
        <f>Source!AQ41</f>
        <v>112.48</v>
      </c>
      <c r="F96" s="22"/>
      <c r="G96" s="21" t="str">
        <f>Source!DI41</f>
        <v/>
      </c>
      <c r="H96" s="9">
        <f>Source!AV41</f>
        <v>1</v>
      </c>
      <c r="I96" s="9"/>
      <c r="J96" s="22"/>
      <c r="K96" s="22">
        <f>Source!U41</f>
        <v>15.747200000000001</v>
      </c>
    </row>
    <row r="97" spans="1:22" ht="15" x14ac:dyDescent="0.25">
      <c r="A97" s="25"/>
      <c r="B97" s="25"/>
      <c r="C97" s="25"/>
      <c r="D97" s="25"/>
      <c r="E97" s="25"/>
      <c r="F97" s="25"/>
      <c r="G97" s="25"/>
      <c r="H97" s="25"/>
      <c r="I97" s="52">
        <f>J89+J90+J92+J93+J94+J95</f>
        <v>14484.140000000001</v>
      </c>
      <c r="J97" s="52"/>
      <c r="K97" s="26">
        <f>IF(Source!I41&lt;&gt;0, ROUND(I97/Source!I41, 2), 0)</f>
        <v>103458.14</v>
      </c>
      <c r="P97" s="24">
        <f>I97</f>
        <v>14484.140000000001</v>
      </c>
    </row>
    <row r="98" spans="1:22" ht="57" x14ac:dyDescent="0.2">
      <c r="A98" s="19">
        <v>7</v>
      </c>
      <c r="B98" s="19" t="str">
        <f>Source!F43</f>
        <v>1.15-2203-7-1/1</v>
      </c>
      <c r="C98" s="19" t="str">
        <f>Source!G43</f>
        <v>Техническое обслуживание крана шарового латунного никелированного диаметром до 25 мм / Кран смывной для писуара</v>
      </c>
      <c r="D98" s="20" t="str">
        <f>Source!H43</f>
        <v>10 шт.</v>
      </c>
      <c r="E98" s="9">
        <f>Source!I43</f>
        <v>14</v>
      </c>
      <c r="F98" s="22"/>
      <c r="G98" s="21"/>
      <c r="H98" s="9"/>
      <c r="I98" s="9"/>
      <c r="J98" s="22"/>
      <c r="K98" s="22"/>
      <c r="Q98">
        <f>ROUND((Source!BZ43/100)*ROUND((Source!AF43*Source!AV43)*Source!I43, 2), 2)</f>
        <v>2723.13</v>
      </c>
      <c r="R98">
        <f>Source!X43</f>
        <v>2723.13</v>
      </c>
      <c r="S98">
        <f>ROUND((Source!CA43/100)*ROUND((Source!AF43*Source!AV43)*Source!I43, 2), 2)</f>
        <v>389.02</v>
      </c>
      <c r="T98">
        <f>Source!Y43</f>
        <v>389.02</v>
      </c>
      <c r="U98">
        <f>ROUND((175/100)*ROUND((Source!AE43*Source!AV43)*Source!I43, 2), 2)</f>
        <v>0</v>
      </c>
      <c r="V98">
        <f>ROUND((108/100)*ROUND(Source!CS43*Source!I43, 2), 2)</f>
        <v>0</v>
      </c>
    </row>
    <row r="99" spans="1:22" x14ac:dyDescent="0.2">
      <c r="C99" s="23" t="str">
        <f>"Объем: "&amp;Source!I43&amp;"=2*"&amp;"7"</f>
        <v>Объем: 14=2*7</v>
      </c>
    </row>
    <row r="100" spans="1:22" ht="14.25" x14ac:dyDescent="0.2">
      <c r="A100" s="19"/>
      <c r="B100" s="19"/>
      <c r="C100" s="19" t="s">
        <v>500</v>
      </c>
      <c r="D100" s="20"/>
      <c r="E100" s="9"/>
      <c r="F100" s="22">
        <f>Source!AO43</f>
        <v>277.87</v>
      </c>
      <c r="G100" s="21" t="str">
        <f>Source!DG43</f>
        <v/>
      </c>
      <c r="H100" s="9">
        <f>Source!AV43</f>
        <v>1</v>
      </c>
      <c r="I100" s="9">
        <f>IF(Source!BA43&lt;&gt; 0, Source!BA43, 1)</f>
        <v>1</v>
      </c>
      <c r="J100" s="22">
        <f>Source!S43</f>
        <v>3890.18</v>
      </c>
      <c r="K100" s="22"/>
    </row>
    <row r="101" spans="1:22" ht="14.25" x14ac:dyDescent="0.2">
      <c r="A101" s="19"/>
      <c r="B101" s="19"/>
      <c r="C101" s="19" t="s">
        <v>501</v>
      </c>
      <c r="D101" s="20" t="s">
        <v>502</v>
      </c>
      <c r="E101" s="9">
        <f>Source!AT43</f>
        <v>70</v>
      </c>
      <c r="F101" s="22"/>
      <c r="G101" s="21"/>
      <c r="H101" s="9"/>
      <c r="I101" s="9"/>
      <c r="J101" s="22">
        <f>SUM(R98:R100)</f>
        <v>2723.13</v>
      </c>
      <c r="K101" s="22"/>
    </row>
    <row r="102" spans="1:22" ht="14.25" x14ac:dyDescent="0.2">
      <c r="A102" s="19"/>
      <c r="B102" s="19"/>
      <c r="C102" s="19" t="s">
        <v>503</v>
      </c>
      <c r="D102" s="20" t="s">
        <v>502</v>
      </c>
      <c r="E102" s="9">
        <f>Source!AU43</f>
        <v>10</v>
      </c>
      <c r="F102" s="22"/>
      <c r="G102" s="21"/>
      <c r="H102" s="9"/>
      <c r="I102" s="9"/>
      <c r="J102" s="22">
        <f>SUM(T98:T101)</f>
        <v>389.02</v>
      </c>
      <c r="K102" s="22"/>
    </row>
    <row r="103" spans="1:22" ht="14.25" x14ac:dyDescent="0.2">
      <c r="A103" s="19"/>
      <c r="B103" s="19"/>
      <c r="C103" s="19" t="s">
        <v>504</v>
      </c>
      <c r="D103" s="20" t="s">
        <v>505</v>
      </c>
      <c r="E103" s="9">
        <f>Source!AQ43</f>
        <v>0.45</v>
      </c>
      <c r="F103" s="22"/>
      <c r="G103" s="21" t="str">
        <f>Source!DI43</f>
        <v/>
      </c>
      <c r="H103" s="9">
        <f>Source!AV43</f>
        <v>1</v>
      </c>
      <c r="I103" s="9"/>
      <c r="J103" s="22"/>
      <c r="K103" s="22">
        <f>Source!U43</f>
        <v>6.3</v>
      </c>
    </row>
    <row r="104" spans="1:22" ht="15" x14ac:dyDescent="0.25">
      <c r="A104" s="25"/>
      <c r="B104" s="25"/>
      <c r="C104" s="25"/>
      <c r="D104" s="25"/>
      <c r="E104" s="25"/>
      <c r="F104" s="25"/>
      <c r="G104" s="25"/>
      <c r="H104" s="25"/>
      <c r="I104" s="52">
        <f>J100+J101+J102</f>
        <v>7002.33</v>
      </c>
      <c r="J104" s="52"/>
      <c r="K104" s="26">
        <f>IF(Source!I43&lt;&gt;0, ROUND(I104/Source!I43, 2), 0)</f>
        <v>500.17</v>
      </c>
      <c r="P104" s="24">
        <f>I104</f>
        <v>7002.33</v>
      </c>
    </row>
    <row r="105" spans="1:22" ht="42.75" x14ac:dyDescent="0.2">
      <c r="A105" s="19">
        <v>8</v>
      </c>
      <c r="B105" s="19" t="str">
        <f>Source!F44</f>
        <v>1.23-2103-41-1/1</v>
      </c>
      <c r="C105" s="19" t="str">
        <f>Source!G44</f>
        <v>Техническое обслуживание регулирующего клапана / Смеситель для раковины</v>
      </c>
      <c r="D105" s="20" t="str">
        <f>Source!H44</f>
        <v>шт.</v>
      </c>
      <c r="E105" s="9">
        <f>Source!I44</f>
        <v>56</v>
      </c>
      <c r="F105" s="22"/>
      <c r="G105" s="21"/>
      <c r="H105" s="9"/>
      <c r="I105" s="9"/>
      <c r="J105" s="22"/>
      <c r="K105" s="22"/>
      <c r="Q105">
        <f>ROUND((Source!BZ44/100)*ROUND((Source!AF44*Source!AV44)*Source!I44, 2), 2)</f>
        <v>8153.6</v>
      </c>
      <c r="R105">
        <f>Source!X44</f>
        <v>8153.6</v>
      </c>
      <c r="S105">
        <f>ROUND((Source!CA44/100)*ROUND((Source!AF44*Source!AV44)*Source!I44, 2), 2)</f>
        <v>1164.8</v>
      </c>
      <c r="T105">
        <f>Source!Y44</f>
        <v>1164.8</v>
      </c>
      <c r="U105">
        <f>ROUND((175/100)*ROUND((Source!AE44*Source!AV44)*Source!I44, 2), 2)</f>
        <v>4857.8599999999997</v>
      </c>
      <c r="V105">
        <f>ROUND((108/100)*ROUND(Source!CS44*Source!I44, 2), 2)</f>
        <v>2997.99</v>
      </c>
    </row>
    <row r="106" spans="1:22" x14ac:dyDescent="0.2">
      <c r="C106" s="23" t="str">
        <f>"Объем: "&amp;Source!I44&amp;"=(8)*"&amp;"7"</f>
        <v>Объем: 56=(8)*7</v>
      </c>
    </row>
    <row r="107" spans="1:22" ht="14.25" x14ac:dyDescent="0.2">
      <c r="A107" s="19"/>
      <c r="B107" s="19"/>
      <c r="C107" s="19" t="s">
        <v>500</v>
      </c>
      <c r="D107" s="20"/>
      <c r="E107" s="9"/>
      <c r="F107" s="22">
        <f>Source!AO44</f>
        <v>208</v>
      </c>
      <c r="G107" s="21" t="str">
        <f>Source!DG44</f>
        <v/>
      </c>
      <c r="H107" s="9">
        <f>Source!AV44</f>
        <v>1</v>
      </c>
      <c r="I107" s="9">
        <f>IF(Source!BA44&lt;&gt; 0, Source!BA44, 1)</f>
        <v>1</v>
      </c>
      <c r="J107" s="22">
        <f>Source!S44</f>
        <v>11648</v>
      </c>
      <c r="K107" s="22"/>
    </row>
    <row r="108" spans="1:22" ht="14.25" x14ac:dyDescent="0.2">
      <c r="A108" s="19"/>
      <c r="B108" s="19"/>
      <c r="C108" s="19" t="s">
        <v>506</v>
      </c>
      <c r="D108" s="20"/>
      <c r="E108" s="9"/>
      <c r="F108" s="22">
        <f>Source!AM44</f>
        <v>78.180000000000007</v>
      </c>
      <c r="G108" s="21" t="str">
        <f>Source!DE44</f>
        <v/>
      </c>
      <c r="H108" s="9">
        <f>Source!AV44</f>
        <v>1</v>
      </c>
      <c r="I108" s="9">
        <f>IF(Source!BB44&lt;&gt; 0, Source!BB44, 1)</f>
        <v>1</v>
      </c>
      <c r="J108" s="22">
        <f>Source!Q44</f>
        <v>4378.08</v>
      </c>
      <c r="K108" s="22"/>
    </row>
    <row r="109" spans="1:22" ht="14.25" x14ac:dyDescent="0.2">
      <c r="A109" s="19"/>
      <c r="B109" s="19"/>
      <c r="C109" s="19" t="s">
        <v>507</v>
      </c>
      <c r="D109" s="20"/>
      <c r="E109" s="9"/>
      <c r="F109" s="22">
        <f>Source!AN44</f>
        <v>49.57</v>
      </c>
      <c r="G109" s="21" t="str">
        <f>Source!DF44</f>
        <v/>
      </c>
      <c r="H109" s="9">
        <f>Source!AV44</f>
        <v>1</v>
      </c>
      <c r="I109" s="9">
        <f>IF(Source!BS44&lt;&gt; 0, Source!BS44, 1)</f>
        <v>1</v>
      </c>
      <c r="J109" s="27">
        <f>Source!R44</f>
        <v>2775.92</v>
      </c>
      <c r="K109" s="22"/>
    </row>
    <row r="110" spans="1:22" ht="14.25" x14ac:dyDescent="0.2">
      <c r="A110" s="19"/>
      <c r="B110" s="19"/>
      <c r="C110" s="19" t="s">
        <v>501</v>
      </c>
      <c r="D110" s="20" t="s">
        <v>502</v>
      </c>
      <c r="E110" s="9">
        <f>Source!AT44</f>
        <v>70</v>
      </c>
      <c r="F110" s="22"/>
      <c r="G110" s="21"/>
      <c r="H110" s="9"/>
      <c r="I110" s="9"/>
      <c r="J110" s="22">
        <f>SUM(R105:R109)</f>
        <v>8153.6</v>
      </c>
      <c r="K110" s="22"/>
    </row>
    <row r="111" spans="1:22" ht="14.25" x14ac:dyDescent="0.2">
      <c r="A111" s="19"/>
      <c r="B111" s="19"/>
      <c r="C111" s="19" t="s">
        <v>503</v>
      </c>
      <c r="D111" s="20" t="s">
        <v>502</v>
      </c>
      <c r="E111" s="9">
        <f>Source!AU44</f>
        <v>10</v>
      </c>
      <c r="F111" s="22"/>
      <c r="G111" s="21"/>
      <c r="H111" s="9"/>
      <c r="I111" s="9"/>
      <c r="J111" s="22">
        <f>SUM(T105:T110)</f>
        <v>1164.8</v>
      </c>
      <c r="K111" s="22"/>
    </row>
    <row r="112" spans="1:22" ht="14.25" x14ac:dyDescent="0.2">
      <c r="A112" s="19"/>
      <c r="B112" s="19"/>
      <c r="C112" s="19" t="s">
        <v>509</v>
      </c>
      <c r="D112" s="20" t="s">
        <v>502</v>
      </c>
      <c r="E112" s="9">
        <f>108</f>
        <v>108</v>
      </c>
      <c r="F112" s="22"/>
      <c r="G112" s="21"/>
      <c r="H112" s="9"/>
      <c r="I112" s="9"/>
      <c r="J112" s="22">
        <f>SUM(V105:V111)</f>
        <v>2997.99</v>
      </c>
      <c r="K112" s="22"/>
    </row>
    <row r="113" spans="1:22" ht="14.25" x14ac:dyDescent="0.2">
      <c r="A113" s="19"/>
      <c r="B113" s="19"/>
      <c r="C113" s="19" t="s">
        <v>504</v>
      </c>
      <c r="D113" s="20" t="s">
        <v>505</v>
      </c>
      <c r="E113" s="9">
        <f>Source!AQ44</f>
        <v>0.37</v>
      </c>
      <c r="F113" s="22"/>
      <c r="G113" s="21" t="str">
        <f>Source!DI44</f>
        <v/>
      </c>
      <c r="H113" s="9">
        <f>Source!AV44</f>
        <v>1</v>
      </c>
      <c r="I113" s="9"/>
      <c r="J113" s="22"/>
      <c r="K113" s="22">
        <f>Source!U44</f>
        <v>20.72</v>
      </c>
    </row>
    <row r="114" spans="1:22" ht="15" x14ac:dyDescent="0.25">
      <c r="A114" s="25"/>
      <c r="B114" s="25"/>
      <c r="C114" s="25"/>
      <c r="D114" s="25"/>
      <c r="E114" s="25"/>
      <c r="F114" s="25"/>
      <c r="G114" s="25"/>
      <c r="H114" s="25"/>
      <c r="I114" s="52">
        <f>J107+J108+J110+J111+J112</f>
        <v>28342.47</v>
      </c>
      <c r="J114" s="52"/>
      <c r="K114" s="26">
        <f>IF(Source!I44&lt;&gt;0, ROUND(I114/Source!I44, 2), 0)</f>
        <v>506.12</v>
      </c>
      <c r="P114" s="24">
        <f>I114</f>
        <v>28342.47</v>
      </c>
    </row>
    <row r="115" spans="1:22" ht="28.5" x14ac:dyDescent="0.2">
      <c r="A115" s="19">
        <v>9</v>
      </c>
      <c r="B115" s="19" t="str">
        <f>Source!F45</f>
        <v>1.16-3201-1-1/1</v>
      </c>
      <c r="C115" s="19" t="str">
        <f>Source!G45</f>
        <v>Регулировка смывного бачка</v>
      </c>
      <c r="D115" s="20" t="str">
        <f>Source!H45</f>
        <v>100 приборов</v>
      </c>
      <c r="E115" s="9">
        <f>Source!I45</f>
        <v>0.91</v>
      </c>
      <c r="F115" s="22"/>
      <c r="G115" s="21"/>
      <c r="H115" s="9"/>
      <c r="I115" s="9"/>
      <c r="J115" s="22"/>
      <c r="K115" s="22"/>
      <c r="Q115">
        <f>ROUND((Source!BZ45/100)*ROUND((Source!AF45*Source!AV45)*Source!I45, 2), 2)</f>
        <v>10125.82</v>
      </c>
      <c r="R115">
        <f>Source!X45</f>
        <v>10125.82</v>
      </c>
      <c r="S115">
        <f>ROUND((Source!CA45/100)*ROUND((Source!AF45*Source!AV45)*Source!I45, 2), 2)</f>
        <v>1446.55</v>
      </c>
      <c r="T115">
        <f>Source!Y45</f>
        <v>1446.55</v>
      </c>
      <c r="U115">
        <f>ROUND((175/100)*ROUND((Source!AE45*Source!AV45)*Source!I45, 2), 2)</f>
        <v>0</v>
      </c>
      <c r="V115">
        <f>ROUND((108/100)*ROUND(Source!CS45*Source!I45, 2), 2)</f>
        <v>0</v>
      </c>
    </row>
    <row r="116" spans="1:22" x14ac:dyDescent="0.2">
      <c r="C116" s="23" t="str">
        <f>"Объем: "&amp;Source!I45&amp;"=13*"&amp;"7/"&amp;"100"</f>
        <v>Объем: 0,91=13*7/100</v>
      </c>
    </row>
    <row r="117" spans="1:22" ht="14.25" x14ac:dyDescent="0.2">
      <c r="A117" s="19"/>
      <c r="B117" s="19"/>
      <c r="C117" s="19" t="s">
        <v>500</v>
      </c>
      <c r="D117" s="20"/>
      <c r="E117" s="9"/>
      <c r="F117" s="22">
        <f>Source!AO45</f>
        <v>15896.11</v>
      </c>
      <c r="G117" s="21" t="str">
        <f>Source!DG45</f>
        <v/>
      </c>
      <c r="H117" s="9">
        <f>Source!AV45</f>
        <v>1</v>
      </c>
      <c r="I117" s="9">
        <f>IF(Source!BA45&lt;&gt; 0, Source!BA45, 1)</f>
        <v>1</v>
      </c>
      <c r="J117" s="22">
        <f>Source!S45</f>
        <v>14465.46</v>
      </c>
      <c r="K117" s="22"/>
    </row>
    <row r="118" spans="1:22" ht="14.25" x14ac:dyDescent="0.2">
      <c r="A118" s="19"/>
      <c r="B118" s="19"/>
      <c r="C118" s="19" t="s">
        <v>501</v>
      </c>
      <c r="D118" s="20" t="s">
        <v>502</v>
      </c>
      <c r="E118" s="9">
        <f>Source!AT45</f>
        <v>70</v>
      </c>
      <c r="F118" s="22"/>
      <c r="G118" s="21"/>
      <c r="H118" s="9"/>
      <c r="I118" s="9"/>
      <c r="J118" s="22">
        <f>SUM(R115:R117)</f>
        <v>10125.82</v>
      </c>
      <c r="K118" s="22"/>
    </row>
    <row r="119" spans="1:22" ht="14.25" x14ac:dyDescent="0.2">
      <c r="A119" s="19"/>
      <c r="B119" s="19"/>
      <c r="C119" s="19" t="s">
        <v>503</v>
      </c>
      <c r="D119" s="20" t="s">
        <v>502</v>
      </c>
      <c r="E119" s="9">
        <f>Source!AU45</f>
        <v>10</v>
      </c>
      <c r="F119" s="22"/>
      <c r="G119" s="21"/>
      <c r="H119" s="9"/>
      <c r="I119" s="9"/>
      <c r="J119" s="22">
        <f>SUM(T115:T118)</f>
        <v>1446.55</v>
      </c>
      <c r="K119" s="22"/>
    </row>
    <row r="120" spans="1:22" ht="14.25" x14ac:dyDescent="0.2">
      <c r="A120" s="19"/>
      <c r="B120" s="19"/>
      <c r="C120" s="19" t="s">
        <v>504</v>
      </c>
      <c r="D120" s="20" t="s">
        <v>505</v>
      </c>
      <c r="E120" s="9">
        <f>Source!AQ45</f>
        <v>26.7</v>
      </c>
      <c r="F120" s="22"/>
      <c r="G120" s="21" t="str">
        <f>Source!DI45</f>
        <v/>
      </c>
      <c r="H120" s="9">
        <f>Source!AV45</f>
        <v>1</v>
      </c>
      <c r="I120" s="9"/>
      <c r="J120" s="22"/>
      <c r="K120" s="22">
        <f>Source!U45</f>
        <v>24.297000000000001</v>
      </c>
    </row>
    <row r="121" spans="1:22" ht="15" x14ac:dyDescent="0.25">
      <c r="A121" s="25"/>
      <c r="B121" s="25"/>
      <c r="C121" s="25"/>
      <c r="D121" s="25"/>
      <c r="E121" s="25"/>
      <c r="F121" s="25"/>
      <c r="G121" s="25"/>
      <c r="H121" s="25"/>
      <c r="I121" s="52">
        <f>J117+J118+J119</f>
        <v>26037.829999999998</v>
      </c>
      <c r="J121" s="52"/>
      <c r="K121" s="26">
        <f>IF(Source!I45&lt;&gt;0, ROUND(I121/Source!I45, 2), 0)</f>
        <v>28613</v>
      </c>
      <c r="P121" s="24">
        <f>I121</f>
        <v>26037.829999999998</v>
      </c>
    </row>
    <row r="122" spans="1:22" ht="28.5" x14ac:dyDescent="0.2">
      <c r="A122" s="19">
        <v>10</v>
      </c>
      <c r="B122" s="19" t="str">
        <f>Source!F46</f>
        <v>1.16-2203-1-1/1</v>
      </c>
      <c r="C122" s="19" t="str">
        <f>Source!G46</f>
        <v>Прочистка сифонов</v>
      </c>
      <c r="D122" s="20" t="str">
        <f>Source!H46</f>
        <v>100 шт.</v>
      </c>
      <c r="E122" s="9">
        <f>Source!I46</f>
        <v>0.7</v>
      </c>
      <c r="F122" s="22"/>
      <c r="G122" s="21"/>
      <c r="H122" s="9"/>
      <c r="I122" s="9"/>
      <c r="J122" s="22"/>
      <c r="K122" s="22"/>
      <c r="Q122">
        <f>ROUND((Source!BZ46/100)*ROUND((Source!AF46*Source!AV46)*Source!I46, 2), 2)</f>
        <v>27835.8</v>
      </c>
      <c r="R122">
        <f>Source!X46</f>
        <v>27835.8</v>
      </c>
      <c r="S122">
        <f>ROUND((Source!CA46/100)*ROUND((Source!AF46*Source!AV46)*Source!I46, 2), 2)</f>
        <v>3976.54</v>
      </c>
      <c r="T122">
        <f>Source!Y46</f>
        <v>3976.54</v>
      </c>
      <c r="U122">
        <f>ROUND((175/100)*ROUND((Source!AE46*Source!AV46)*Source!I46, 2), 2)</f>
        <v>0</v>
      </c>
      <c r="V122">
        <f>ROUND((108/100)*ROUND(Source!CS46*Source!I46, 2), 2)</f>
        <v>0</v>
      </c>
    </row>
    <row r="123" spans="1:22" x14ac:dyDescent="0.2">
      <c r="C123" s="23" t="str">
        <f>"Объем: "&amp;Source!I46&amp;"=(8+"&amp;"2)*"&amp;"7/"&amp;"100"</f>
        <v>Объем: 0,7=(8+2)*7/100</v>
      </c>
    </row>
    <row r="124" spans="1:22" ht="14.25" x14ac:dyDescent="0.2">
      <c r="A124" s="19"/>
      <c r="B124" s="19"/>
      <c r="C124" s="19" t="s">
        <v>500</v>
      </c>
      <c r="D124" s="20"/>
      <c r="E124" s="9"/>
      <c r="F124" s="22">
        <f>Source!AO46</f>
        <v>14201.94</v>
      </c>
      <c r="G124" s="21" t="str">
        <f>Source!DG46</f>
        <v>)*4</v>
      </c>
      <c r="H124" s="9">
        <f>Source!AV46</f>
        <v>1</v>
      </c>
      <c r="I124" s="9">
        <f>IF(Source!BA46&lt;&gt; 0, Source!BA46, 1)</f>
        <v>1</v>
      </c>
      <c r="J124" s="22">
        <f>Source!S46</f>
        <v>39765.43</v>
      </c>
      <c r="K124" s="22"/>
    </row>
    <row r="125" spans="1:22" ht="14.25" x14ac:dyDescent="0.2">
      <c r="A125" s="19"/>
      <c r="B125" s="19"/>
      <c r="C125" s="19" t="s">
        <v>508</v>
      </c>
      <c r="D125" s="20"/>
      <c r="E125" s="9"/>
      <c r="F125" s="22">
        <f>Source!AL46</f>
        <v>243.57</v>
      </c>
      <c r="G125" s="21" t="str">
        <f>Source!DD46</f>
        <v>)*4</v>
      </c>
      <c r="H125" s="9">
        <f>Source!AW46</f>
        <v>1</v>
      </c>
      <c r="I125" s="9">
        <f>IF(Source!BC46&lt;&gt; 0, Source!BC46, 1)</f>
        <v>1</v>
      </c>
      <c r="J125" s="22">
        <f>Source!P46</f>
        <v>682</v>
      </c>
      <c r="K125" s="22"/>
    </row>
    <row r="126" spans="1:22" ht="14.25" x14ac:dyDescent="0.2">
      <c r="A126" s="19"/>
      <c r="B126" s="19"/>
      <c r="C126" s="19" t="s">
        <v>501</v>
      </c>
      <c r="D126" s="20" t="s">
        <v>502</v>
      </c>
      <c r="E126" s="9">
        <f>Source!AT46</f>
        <v>70</v>
      </c>
      <c r="F126" s="22"/>
      <c r="G126" s="21"/>
      <c r="H126" s="9"/>
      <c r="I126" s="9"/>
      <c r="J126" s="22">
        <f>SUM(R122:R125)</f>
        <v>27835.8</v>
      </c>
      <c r="K126" s="22"/>
    </row>
    <row r="127" spans="1:22" ht="14.25" x14ac:dyDescent="0.2">
      <c r="A127" s="19"/>
      <c r="B127" s="19"/>
      <c r="C127" s="19" t="s">
        <v>503</v>
      </c>
      <c r="D127" s="20" t="s">
        <v>502</v>
      </c>
      <c r="E127" s="9">
        <f>Source!AU46</f>
        <v>10</v>
      </c>
      <c r="F127" s="22"/>
      <c r="G127" s="21"/>
      <c r="H127" s="9"/>
      <c r="I127" s="9"/>
      <c r="J127" s="22">
        <f>SUM(T122:T126)</f>
        <v>3976.54</v>
      </c>
      <c r="K127" s="22"/>
    </row>
    <row r="128" spans="1:22" ht="14.25" x14ac:dyDescent="0.2">
      <c r="A128" s="19"/>
      <c r="B128" s="19"/>
      <c r="C128" s="19" t="s">
        <v>504</v>
      </c>
      <c r="D128" s="20" t="s">
        <v>505</v>
      </c>
      <c r="E128" s="9">
        <f>Source!AQ46</f>
        <v>28.02</v>
      </c>
      <c r="F128" s="22"/>
      <c r="G128" s="21" t="str">
        <f>Source!DI46</f>
        <v>)*4</v>
      </c>
      <c r="H128" s="9">
        <f>Source!AV46</f>
        <v>1</v>
      </c>
      <c r="I128" s="9"/>
      <c r="J128" s="22"/>
      <c r="K128" s="22">
        <f>Source!U46</f>
        <v>78.455999999999989</v>
      </c>
    </row>
    <row r="129" spans="1:22" ht="15" x14ac:dyDescent="0.25">
      <c r="A129" s="25"/>
      <c r="B129" s="25"/>
      <c r="C129" s="25"/>
      <c r="D129" s="25"/>
      <c r="E129" s="25"/>
      <c r="F129" s="25"/>
      <c r="G129" s="25"/>
      <c r="H129" s="25"/>
      <c r="I129" s="52">
        <f>J124+J125+J126+J127</f>
        <v>72259.76999999999</v>
      </c>
      <c r="J129" s="52"/>
      <c r="K129" s="26">
        <f>IF(Source!I46&lt;&gt;0, ROUND(I129/Source!I46, 2), 0)</f>
        <v>103228.24</v>
      </c>
      <c r="P129" s="24">
        <f>I129</f>
        <v>72259.76999999999</v>
      </c>
    </row>
    <row r="130" spans="1:22" ht="28.5" x14ac:dyDescent="0.2">
      <c r="A130" s="19">
        <v>11</v>
      </c>
      <c r="B130" s="19" t="str">
        <f>Source!F49</f>
        <v>1.15-2303-4-1/1</v>
      </c>
      <c r="C130" s="19" t="str">
        <f>Source!G49</f>
        <v>Прочистка сетчатых фильтров грубой очистки воды диаметром до 25 мм</v>
      </c>
      <c r="D130" s="20" t="str">
        <f>Source!H49</f>
        <v>10 шт.</v>
      </c>
      <c r="E130" s="9">
        <f>Source!I49</f>
        <v>0.7</v>
      </c>
      <c r="F130" s="22"/>
      <c r="G130" s="21"/>
      <c r="H130" s="9"/>
      <c r="I130" s="9"/>
      <c r="J130" s="22"/>
      <c r="K130" s="22"/>
      <c r="Q130">
        <f>ROUND((Source!BZ49/100)*ROUND((Source!AF49*Source!AV49)*Source!I49, 2), 2)</f>
        <v>1234.49</v>
      </c>
      <c r="R130">
        <f>Source!X49</f>
        <v>1234.49</v>
      </c>
      <c r="S130">
        <f>ROUND((Source!CA49/100)*ROUND((Source!AF49*Source!AV49)*Source!I49, 2), 2)</f>
        <v>176.36</v>
      </c>
      <c r="T130">
        <f>Source!Y49</f>
        <v>176.36</v>
      </c>
      <c r="U130">
        <f>ROUND((175/100)*ROUND((Source!AE49*Source!AV49)*Source!I49, 2), 2)</f>
        <v>0</v>
      </c>
      <c r="V130">
        <f>ROUND((108/100)*ROUND(Source!CS49*Source!I49, 2), 2)</f>
        <v>0</v>
      </c>
    </row>
    <row r="131" spans="1:22" x14ac:dyDescent="0.2">
      <c r="C131" s="23" t="str">
        <f>"Объем: "&amp;Source!I49&amp;"=1*"&amp;"7/"&amp;"10"</f>
        <v>Объем: 0,7=1*7/10</v>
      </c>
    </row>
    <row r="132" spans="1:22" ht="14.25" x14ac:dyDescent="0.2">
      <c r="A132" s="19"/>
      <c r="B132" s="19"/>
      <c r="C132" s="19" t="s">
        <v>500</v>
      </c>
      <c r="D132" s="20"/>
      <c r="E132" s="9"/>
      <c r="F132" s="22">
        <f>Source!AO49</f>
        <v>1259.68</v>
      </c>
      <c r="G132" s="21" t="str">
        <f>Source!DG49</f>
        <v>)*2</v>
      </c>
      <c r="H132" s="9">
        <f>Source!AV49</f>
        <v>1</v>
      </c>
      <c r="I132" s="9">
        <f>IF(Source!BA49&lt;&gt; 0, Source!BA49, 1)</f>
        <v>1</v>
      </c>
      <c r="J132" s="22">
        <f>Source!S49</f>
        <v>1763.55</v>
      </c>
      <c r="K132" s="22"/>
    </row>
    <row r="133" spans="1:22" ht="14.25" x14ac:dyDescent="0.2">
      <c r="A133" s="19"/>
      <c r="B133" s="19"/>
      <c r="C133" s="19" t="s">
        <v>501</v>
      </c>
      <c r="D133" s="20" t="s">
        <v>502</v>
      </c>
      <c r="E133" s="9">
        <f>Source!AT49</f>
        <v>70</v>
      </c>
      <c r="F133" s="22"/>
      <c r="G133" s="21"/>
      <c r="H133" s="9"/>
      <c r="I133" s="9"/>
      <c r="J133" s="22">
        <f>SUM(R130:R132)</f>
        <v>1234.49</v>
      </c>
      <c r="K133" s="22"/>
    </row>
    <row r="134" spans="1:22" ht="14.25" x14ac:dyDescent="0.2">
      <c r="A134" s="19"/>
      <c r="B134" s="19"/>
      <c r="C134" s="19" t="s">
        <v>503</v>
      </c>
      <c r="D134" s="20" t="s">
        <v>502</v>
      </c>
      <c r="E134" s="9">
        <f>Source!AU49</f>
        <v>10</v>
      </c>
      <c r="F134" s="22"/>
      <c r="G134" s="21"/>
      <c r="H134" s="9"/>
      <c r="I134" s="9"/>
      <c r="J134" s="22">
        <f>SUM(T130:T133)</f>
        <v>176.36</v>
      </c>
      <c r="K134" s="22"/>
    </row>
    <row r="135" spans="1:22" ht="14.25" x14ac:dyDescent="0.2">
      <c r="A135" s="19"/>
      <c r="B135" s="19"/>
      <c r="C135" s="19" t="s">
        <v>504</v>
      </c>
      <c r="D135" s="20" t="s">
        <v>505</v>
      </c>
      <c r="E135" s="9">
        <f>Source!AQ49</f>
        <v>2.04</v>
      </c>
      <c r="F135" s="22"/>
      <c r="G135" s="21" t="str">
        <f>Source!DI49</f>
        <v>)*2</v>
      </c>
      <c r="H135" s="9">
        <f>Source!AV49</f>
        <v>1</v>
      </c>
      <c r="I135" s="9"/>
      <c r="J135" s="22"/>
      <c r="K135" s="22">
        <f>Source!U49</f>
        <v>2.8559999999999999</v>
      </c>
    </row>
    <row r="136" spans="1:22" ht="15" x14ac:dyDescent="0.25">
      <c r="A136" s="25"/>
      <c r="B136" s="25"/>
      <c r="C136" s="25"/>
      <c r="D136" s="25"/>
      <c r="E136" s="25"/>
      <c r="F136" s="25"/>
      <c r="G136" s="25"/>
      <c r="H136" s="25"/>
      <c r="I136" s="52">
        <f>J132+J133+J134</f>
        <v>3174.4</v>
      </c>
      <c r="J136" s="52"/>
      <c r="K136" s="26">
        <f>IF(Source!I49&lt;&gt;0, ROUND(I136/Source!I49, 2), 0)</f>
        <v>4534.8599999999997</v>
      </c>
      <c r="P136" s="24">
        <f>I136</f>
        <v>3174.4</v>
      </c>
    </row>
    <row r="138" spans="1:22" ht="15" customHeight="1" x14ac:dyDescent="0.25">
      <c r="A138" s="54" t="str">
        <f>CONCATENATE("Итого по подразделу: ",IF(Source!G54&lt;&gt;"Новый подраздел", Source!G54, ""))</f>
        <v>Итого по подразделу: Система внутреннего водоснабжения и водоотведения</v>
      </c>
      <c r="B138" s="54"/>
      <c r="C138" s="54"/>
      <c r="D138" s="54"/>
      <c r="E138" s="54"/>
      <c r="F138" s="54"/>
      <c r="G138" s="54"/>
      <c r="H138" s="54"/>
      <c r="I138" s="53">
        <f>SUM(P36:P137)</f>
        <v>488633.02</v>
      </c>
      <c r="J138" s="53"/>
      <c r="K138" s="28"/>
    </row>
    <row r="141" spans="1:22" ht="16.5" customHeight="1" x14ac:dyDescent="0.25">
      <c r="A141" s="51" t="str">
        <f>CONCATENATE("Подраздел: ",IF(Source!G84&lt;&gt;"Новый подраздел", Source!G84, ""))</f>
        <v>Подраздел: Отопление</v>
      </c>
      <c r="B141" s="51"/>
      <c r="C141" s="51"/>
      <c r="D141" s="51"/>
      <c r="E141" s="51"/>
      <c r="F141" s="51"/>
      <c r="G141" s="51"/>
      <c r="H141" s="51"/>
      <c r="I141" s="51"/>
      <c r="J141" s="51"/>
      <c r="K141" s="51"/>
    </row>
    <row r="142" spans="1:22" ht="57" x14ac:dyDescent="0.2">
      <c r="A142" s="19">
        <v>12</v>
      </c>
      <c r="B142" s="19" t="str">
        <f>Source!F89</f>
        <v>1.21-2303-50-1/1</v>
      </c>
      <c r="C142" s="19" t="str">
        <f>Source!G89</f>
        <v>Техническое обслуживание  конвектора электрического настенного крепления, с механическим термостатом, мощность до 2,0 кВт</v>
      </c>
      <c r="D142" s="20" t="str">
        <f>Source!H89</f>
        <v>шт.</v>
      </c>
      <c r="E142" s="9">
        <f>Source!I89</f>
        <v>14</v>
      </c>
      <c r="F142" s="22"/>
      <c r="G142" s="21"/>
      <c r="H142" s="9"/>
      <c r="I142" s="9"/>
      <c r="J142" s="22"/>
      <c r="K142" s="22"/>
      <c r="Q142">
        <f>ROUND((Source!BZ89/100)*ROUND((Source!AF89*Source!AV89)*Source!I89, 2), 2)</f>
        <v>847.21</v>
      </c>
      <c r="R142">
        <f>Source!X89</f>
        <v>847.21</v>
      </c>
      <c r="S142">
        <f>ROUND((Source!CA89/100)*ROUND((Source!AF89*Source!AV89)*Source!I89, 2), 2)</f>
        <v>121.03</v>
      </c>
      <c r="T142">
        <f>Source!Y89</f>
        <v>121.03</v>
      </c>
      <c r="U142">
        <f>ROUND((175/100)*ROUND((Source!AE89*Source!AV89)*Source!I89, 2), 2)</f>
        <v>0</v>
      </c>
      <c r="V142">
        <f>ROUND((108/100)*ROUND(Source!CS89*Source!I89, 2), 2)</f>
        <v>0</v>
      </c>
    </row>
    <row r="143" spans="1:22" x14ac:dyDescent="0.2">
      <c r="C143" s="23" t="str">
        <f>"Объем: "&amp;Source!I89&amp;"=2*"&amp;"7"</f>
        <v>Объем: 14=2*7</v>
      </c>
    </row>
    <row r="144" spans="1:22" ht="14.25" x14ac:dyDescent="0.2">
      <c r="A144" s="19"/>
      <c r="B144" s="19"/>
      <c r="C144" s="19" t="s">
        <v>500</v>
      </c>
      <c r="D144" s="20"/>
      <c r="E144" s="9"/>
      <c r="F144" s="22">
        <f>Source!AO89</f>
        <v>86.45</v>
      </c>
      <c r="G144" s="21" t="str">
        <f>Source!DG89</f>
        <v/>
      </c>
      <c r="H144" s="9">
        <f>Source!AV89</f>
        <v>1</v>
      </c>
      <c r="I144" s="9">
        <f>IF(Source!BA89&lt;&gt; 0, Source!BA89, 1)</f>
        <v>1</v>
      </c>
      <c r="J144" s="22">
        <f>Source!S89</f>
        <v>1210.3</v>
      </c>
      <c r="K144" s="22"/>
    </row>
    <row r="145" spans="1:22" ht="14.25" x14ac:dyDescent="0.2">
      <c r="A145" s="19"/>
      <c r="B145" s="19"/>
      <c r="C145" s="19" t="s">
        <v>506</v>
      </c>
      <c r="D145" s="20"/>
      <c r="E145" s="9"/>
      <c r="F145" s="22">
        <f>Source!AM89</f>
        <v>0.23</v>
      </c>
      <c r="G145" s="21" t="str">
        <f>Source!DE89</f>
        <v/>
      </c>
      <c r="H145" s="9">
        <f>Source!AV89</f>
        <v>1</v>
      </c>
      <c r="I145" s="9">
        <f>IF(Source!BB89&lt;&gt; 0, Source!BB89, 1)</f>
        <v>1</v>
      </c>
      <c r="J145" s="22">
        <f>Source!Q89</f>
        <v>3.22</v>
      </c>
      <c r="K145" s="22"/>
    </row>
    <row r="146" spans="1:22" ht="14.25" x14ac:dyDescent="0.2">
      <c r="A146" s="19"/>
      <c r="B146" s="19"/>
      <c r="C146" s="19" t="s">
        <v>508</v>
      </c>
      <c r="D146" s="20"/>
      <c r="E146" s="9"/>
      <c r="F146" s="22">
        <f>Source!AL89</f>
        <v>2.2000000000000002</v>
      </c>
      <c r="G146" s="21" t="str">
        <f>Source!DD89</f>
        <v/>
      </c>
      <c r="H146" s="9">
        <f>Source!AW89</f>
        <v>1</v>
      </c>
      <c r="I146" s="9">
        <f>IF(Source!BC89&lt;&gt; 0, Source!BC89, 1)</f>
        <v>1</v>
      </c>
      <c r="J146" s="22">
        <f>Source!P89</f>
        <v>30.8</v>
      </c>
      <c r="K146" s="22"/>
    </row>
    <row r="147" spans="1:22" ht="14.25" x14ac:dyDescent="0.2">
      <c r="A147" s="19"/>
      <c r="B147" s="19"/>
      <c r="C147" s="19" t="s">
        <v>501</v>
      </c>
      <c r="D147" s="20" t="s">
        <v>502</v>
      </c>
      <c r="E147" s="9">
        <f>Source!AT89</f>
        <v>70</v>
      </c>
      <c r="F147" s="22"/>
      <c r="G147" s="21"/>
      <c r="H147" s="9"/>
      <c r="I147" s="9"/>
      <c r="J147" s="22">
        <f>SUM(R142:R146)</f>
        <v>847.21</v>
      </c>
      <c r="K147" s="22"/>
    </row>
    <row r="148" spans="1:22" ht="14.25" x14ac:dyDescent="0.2">
      <c r="A148" s="19"/>
      <c r="B148" s="19"/>
      <c r="C148" s="19" t="s">
        <v>503</v>
      </c>
      <c r="D148" s="20" t="s">
        <v>502</v>
      </c>
      <c r="E148" s="9">
        <f>Source!AU89</f>
        <v>10</v>
      </c>
      <c r="F148" s="22"/>
      <c r="G148" s="21"/>
      <c r="H148" s="9"/>
      <c r="I148" s="9"/>
      <c r="J148" s="22">
        <f>SUM(T142:T147)</f>
        <v>121.03</v>
      </c>
      <c r="K148" s="22"/>
    </row>
    <row r="149" spans="1:22" ht="14.25" x14ac:dyDescent="0.2">
      <c r="A149" s="19"/>
      <c r="B149" s="19"/>
      <c r="C149" s="19" t="s">
        <v>504</v>
      </c>
      <c r="D149" s="20" t="s">
        <v>505</v>
      </c>
      <c r="E149" s="9">
        <f>Source!AQ89</f>
        <v>0.14000000000000001</v>
      </c>
      <c r="F149" s="22"/>
      <c r="G149" s="21" t="str">
        <f>Source!DI89</f>
        <v/>
      </c>
      <c r="H149" s="9">
        <f>Source!AV89</f>
        <v>1</v>
      </c>
      <c r="I149" s="9"/>
      <c r="J149" s="22"/>
      <c r="K149" s="22">
        <f>Source!U89</f>
        <v>1.9600000000000002</v>
      </c>
    </row>
    <row r="150" spans="1:22" ht="15" x14ac:dyDescent="0.25">
      <c r="A150" s="25"/>
      <c r="B150" s="25"/>
      <c r="C150" s="25"/>
      <c r="D150" s="25"/>
      <c r="E150" s="25"/>
      <c r="F150" s="25"/>
      <c r="G150" s="25"/>
      <c r="H150" s="25"/>
      <c r="I150" s="52">
        <f>J144+J145+J146+J147+J148</f>
        <v>2212.56</v>
      </c>
      <c r="J150" s="52"/>
      <c r="K150" s="26">
        <f>IF(Source!I89&lt;&gt;0, ROUND(I150/Source!I89, 2), 0)</f>
        <v>158.04</v>
      </c>
      <c r="P150" s="24">
        <f>I150</f>
        <v>2212.56</v>
      </c>
    </row>
    <row r="152" spans="1:22" ht="15" customHeight="1" x14ac:dyDescent="0.25">
      <c r="A152" s="54" t="str">
        <f>CONCATENATE("Итого по подразделу: ",IF(Source!G92&lt;&gt;"Новый подраздел", Source!G92, ""))</f>
        <v>Итого по подразделу: Отопление</v>
      </c>
      <c r="B152" s="54"/>
      <c r="C152" s="54"/>
      <c r="D152" s="54"/>
      <c r="E152" s="54"/>
      <c r="F152" s="54"/>
      <c r="G152" s="54"/>
      <c r="H152" s="54"/>
      <c r="I152" s="53">
        <f>SUM(P141:P151)</f>
        <v>2212.56</v>
      </c>
      <c r="J152" s="53"/>
      <c r="K152" s="28"/>
    </row>
    <row r="155" spans="1:22" ht="16.5" customHeight="1" x14ac:dyDescent="0.25">
      <c r="A155" s="51" t="str">
        <f>CONCATENATE("Подраздел: ",IF(Source!G122&lt;&gt;"Новый подраздел", Source!G122, ""))</f>
        <v>Подраздел: Вентиляция и кондиционирование</v>
      </c>
      <c r="B155" s="51"/>
      <c r="C155" s="51"/>
      <c r="D155" s="51"/>
      <c r="E155" s="51"/>
      <c r="F155" s="51"/>
      <c r="G155" s="51"/>
      <c r="H155" s="51"/>
      <c r="I155" s="51"/>
      <c r="J155" s="51"/>
      <c r="K155" s="51"/>
    </row>
    <row r="156" spans="1:22" ht="28.5" x14ac:dyDescent="0.2">
      <c r="A156" s="19">
        <v>13</v>
      </c>
      <c r="B156" s="19" t="str">
        <f>Source!F127</f>
        <v>1.18-2303-3-2/1</v>
      </c>
      <c r="C156" s="19" t="str">
        <f>Source!G127</f>
        <v>Техническое обслуживание канального вентилятора - ежеквартальное</v>
      </c>
      <c r="D156" s="20" t="str">
        <f>Source!H127</f>
        <v>шт.</v>
      </c>
      <c r="E156" s="9">
        <f>Source!I127</f>
        <v>14</v>
      </c>
      <c r="F156" s="22"/>
      <c r="G156" s="21"/>
      <c r="H156" s="9"/>
      <c r="I156" s="9"/>
      <c r="J156" s="22"/>
      <c r="K156" s="22"/>
      <c r="Q156">
        <f>ROUND((Source!BZ127/100)*ROUND((Source!AF127*Source!AV127)*Source!I127, 2), 2)</f>
        <v>20982.39</v>
      </c>
      <c r="R156">
        <f>Source!X127</f>
        <v>20982.39</v>
      </c>
      <c r="S156">
        <f>ROUND((Source!CA127/100)*ROUND((Source!AF127*Source!AV127)*Source!I127, 2), 2)</f>
        <v>2997.48</v>
      </c>
      <c r="T156">
        <f>Source!Y127</f>
        <v>2997.48</v>
      </c>
      <c r="U156">
        <f>ROUND((175/100)*ROUND((Source!AE127*Source!AV127)*Source!I127, 2), 2)</f>
        <v>0</v>
      </c>
      <c r="V156">
        <f>ROUND((108/100)*ROUND(Source!CS127*Source!I127, 2), 2)</f>
        <v>0</v>
      </c>
    </row>
    <row r="157" spans="1:22" x14ac:dyDescent="0.2">
      <c r="C157" s="23" t="str">
        <f>"Объем: "&amp;Source!I127&amp;"=2*"&amp;"7"</f>
        <v>Объем: 14=2*7</v>
      </c>
    </row>
    <row r="158" spans="1:22" ht="14.25" x14ac:dyDescent="0.2">
      <c r="A158" s="19"/>
      <c r="B158" s="19"/>
      <c r="C158" s="19" t="s">
        <v>500</v>
      </c>
      <c r="D158" s="20"/>
      <c r="E158" s="9"/>
      <c r="F158" s="22">
        <f>Source!AO127</f>
        <v>1070.53</v>
      </c>
      <c r="G158" s="21" t="str">
        <f>Source!DG127</f>
        <v>)*2</v>
      </c>
      <c r="H158" s="9">
        <f>Source!AV127</f>
        <v>1</v>
      </c>
      <c r="I158" s="9">
        <f>IF(Source!BA127&lt;&gt; 0, Source!BA127, 1)</f>
        <v>1</v>
      </c>
      <c r="J158" s="22">
        <f>Source!S127</f>
        <v>29974.84</v>
      </c>
      <c r="K158" s="22"/>
    </row>
    <row r="159" spans="1:22" ht="14.25" x14ac:dyDescent="0.2">
      <c r="A159" s="19"/>
      <c r="B159" s="19"/>
      <c r="C159" s="19" t="s">
        <v>501</v>
      </c>
      <c r="D159" s="20" t="s">
        <v>502</v>
      </c>
      <c r="E159" s="9">
        <f>Source!AT127</f>
        <v>70</v>
      </c>
      <c r="F159" s="22"/>
      <c r="G159" s="21"/>
      <c r="H159" s="9"/>
      <c r="I159" s="9"/>
      <c r="J159" s="22">
        <f>SUM(R156:R158)</f>
        <v>20982.39</v>
      </c>
      <c r="K159" s="22"/>
    </row>
    <row r="160" spans="1:22" ht="14.25" x14ac:dyDescent="0.2">
      <c r="A160" s="19"/>
      <c r="B160" s="19"/>
      <c r="C160" s="19" t="s">
        <v>503</v>
      </c>
      <c r="D160" s="20" t="s">
        <v>502</v>
      </c>
      <c r="E160" s="9">
        <f>Source!AU127</f>
        <v>10</v>
      </c>
      <c r="F160" s="22"/>
      <c r="G160" s="21"/>
      <c r="H160" s="9"/>
      <c r="I160" s="9"/>
      <c r="J160" s="22">
        <f>SUM(T156:T159)</f>
        <v>2997.48</v>
      </c>
      <c r="K160" s="22"/>
    </row>
    <row r="161" spans="1:22" ht="14.25" x14ac:dyDescent="0.2">
      <c r="A161" s="19"/>
      <c r="B161" s="19"/>
      <c r="C161" s="19" t="s">
        <v>504</v>
      </c>
      <c r="D161" s="20" t="s">
        <v>505</v>
      </c>
      <c r="E161" s="9">
        <f>Source!AQ127</f>
        <v>1.76</v>
      </c>
      <c r="F161" s="22"/>
      <c r="G161" s="21" t="str">
        <f>Source!DI127</f>
        <v>)*2</v>
      </c>
      <c r="H161" s="9">
        <f>Source!AV127</f>
        <v>1</v>
      </c>
      <c r="I161" s="9"/>
      <c r="J161" s="22"/>
      <c r="K161" s="22">
        <f>Source!U127</f>
        <v>49.28</v>
      </c>
    </row>
    <row r="162" spans="1:22" ht="15" x14ac:dyDescent="0.25">
      <c r="A162" s="25"/>
      <c r="B162" s="25"/>
      <c r="C162" s="25"/>
      <c r="D162" s="25"/>
      <c r="E162" s="25"/>
      <c r="F162" s="25"/>
      <c r="G162" s="25"/>
      <c r="H162" s="25"/>
      <c r="I162" s="52">
        <f>J158+J159+J160</f>
        <v>53954.71</v>
      </c>
      <c r="J162" s="52"/>
      <c r="K162" s="26">
        <f>IF(Source!I127&lt;&gt;0, ROUND(I162/Source!I127, 2), 0)</f>
        <v>3853.91</v>
      </c>
      <c r="P162" s="24">
        <f>I162</f>
        <v>53954.71</v>
      </c>
    </row>
    <row r="163" spans="1:22" ht="42.75" x14ac:dyDescent="0.2">
      <c r="A163" s="19">
        <v>14</v>
      </c>
      <c r="B163" s="19" t="str">
        <f>Source!F129</f>
        <v>1.18-2403-19-5/1</v>
      </c>
      <c r="C163" s="19" t="str">
        <f>Source!G129</f>
        <v>Техническое обслуживание внутренних настенных блоков сплит систем мощностью до 7 кВт - полугодовое</v>
      </c>
      <c r="D163" s="20" t="str">
        <f>Source!H129</f>
        <v>1 блок</v>
      </c>
      <c r="E163" s="9">
        <f>Source!I129</f>
        <v>14</v>
      </c>
      <c r="F163" s="22"/>
      <c r="G163" s="21"/>
      <c r="H163" s="9"/>
      <c r="I163" s="9"/>
      <c r="J163" s="22"/>
      <c r="K163" s="22"/>
      <c r="Q163">
        <f>ROUND((Source!BZ129/100)*ROUND((Source!AF129*Source!AV129)*Source!I129, 2), 2)</f>
        <v>9234.34</v>
      </c>
      <c r="R163">
        <f>Source!X129</f>
        <v>9234.34</v>
      </c>
      <c r="S163">
        <f>ROUND((Source!CA129/100)*ROUND((Source!AF129*Source!AV129)*Source!I129, 2), 2)</f>
        <v>1319.19</v>
      </c>
      <c r="T163">
        <f>Source!Y129</f>
        <v>1319.19</v>
      </c>
      <c r="U163">
        <f>ROUND((175/100)*ROUND((Source!AE129*Source!AV129)*Source!I129, 2), 2)</f>
        <v>0.49</v>
      </c>
      <c r="V163">
        <f>ROUND((108/100)*ROUND(Source!CS129*Source!I129, 2), 2)</f>
        <v>0.3</v>
      </c>
    </row>
    <row r="164" spans="1:22" x14ac:dyDescent="0.2">
      <c r="C164" s="23" t="str">
        <f>"Объем: "&amp;Source!I129&amp;"=2*"&amp;"7"</f>
        <v>Объем: 14=2*7</v>
      </c>
    </row>
    <row r="165" spans="1:22" ht="14.25" x14ac:dyDescent="0.2">
      <c r="A165" s="19"/>
      <c r="B165" s="19"/>
      <c r="C165" s="19" t="s">
        <v>500</v>
      </c>
      <c r="D165" s="20"/>
      <c r="E165" s="9"/>
      <c r="F165" s="22">
        <f>Source!AO129</f>
        <v>942.28</v>
      </c>
      <c r="G165" s="21" t="str">
        <f>Source!DG129</f>
        <v/>
      </c>
      <c r="H165" s="9">
        <f>Source!AV129</f>
        <v>1</v>
      </c>
      <c r="I165" s="9">
        <f>IF(Source!BA129&lt;&gt; 0, Source!BA129, 1)</f>
        <v>1</v>
      </c>
      <c r="J165" s="22">
        <f>Source!S129</f>
        <v>13191.92</v>
      </c>
      <c r="K165" s="22"/>
    </row>
    <row r="166" spans="1:22" ht="14.25" x14ac:dyDescent="0.2">
      <c r="A166" s="19"/>
      <c r="B166" s="19"/>
      <c r="C166" s="19" t="s">
        <v>506</v>
      </c>
      <c r="D166" s="20"/>
      <c r="E166" s="9"/>
      <c r="F166" s="22">
        <f>Source!AM129</f>
        <v>1.79</v>
      </c>
      <c r="G166" s="21" t="str">
        <f>Source!DE129</f>
        <v/>
      </c>
      <c r="H166" s="9">
        <f>Source!AV129</f>
        <v>1</v>
      </c>
      <c r="I166" s="9">
        <f>IF(Source!BB129&lt;&gt; 0, Source!BB129, 1)</f>
        <v>1</v>
      </c>
      <c r="J166" s="22">
        <f>Source!Q129</f>
        <v>25.06</v>
      </c>
      <c r="K166" s="22"/>
    </row>
    <row r="167" spans="1:22" ht="14.25" x14ac:dyDescent="0.2">
      <c r="A167" s="19"/>
      <c r="B167" s="19"/>
      <c r="C167" s="19" t="s">
        <v>507</v>
      </c>
      <c r="D167" s="20"/>
      <c r="E167" s="9"/>
      <c r="F167" s="22">
        <f>Source!AN129</f>
        <v>0.02</v>
      </c>
      <c r="G167" s="21" t="str">
        <f>Source!DF129</f>
        <v/>
      </c>
      <c r="H167" s="9">
        <f>Source!AV129</f>
        <v>1</v>
      </c>
      <c r="I167" s="9">
        <f>IF(Source!BS129&lt;&gt; 0, Source!BS129, 1)</f>
        <v>1</v>
      </c>
      <c r="J167" s="27">
        <f>Source!R129</f>
        <v>0.28000000000000003</v>
      </c>
      <c r="K167" s="22"/>
    </row>
    <row r="168" spans="1:22" ht="14.25" x14ac:dyDescent="0.2">
      <c r="A168" s="19"/>
      <c r="B168" s="19"/>
      <c r="C168" s="19" t="s">
        <v>508</v>
      </c>
      <c r="D168" s="20"/>
      <c r="E168" s="9"/>
      <c r="F168" s="22">
        <f>Source!AL129</f>
        <v>0.74</v>
      </c>
      <c r="G168" s="21" t="str">
        <f>Source!DD129</f>
        <v/>
      </c>
      <c r="H168" s="9">
        <f>Source!AW129</f>
        <v>1</v>
      </c>
      <c r="I168" s="9">
        <f>IF(Source!BC129&lt;&gt; 0, Source!BC129, 1)</f>
        <v>1</v>
      </c>
      <c r="J168" s="22">
        <f>Source!P129</f>
        <v>10.36</v>
      </c>
      <c r="K168" s="22"/>
    </row>
    <row r="169" spans="1:22" ht="14.25" x14ac:dyDescent="0.2">
      <c r="A169" s="19"/>
      <c r="B169" s="19"/>
      <c r="C169" s="19" t="s">
        <v>501</v>
      </c>
      <c r="D169" s="20" t="s">
        <v>502</v>
      </c>
      <c r="E169" s="9">
        <f>Source!AT129</f>
        <v>70</v>
      </c>
      <c r="F169" s="22"/>
      <c r="G169" s="21"/>
      <c r="H169" s="9"/>
      <c r="I169" s="9"/>
      <c r="J169" s="22">
        <f>SUM(R163:R168)</f>
        <v>9234.34</v>
      </c>
      <c r="K169" s="22"/>
    </row>
    <row r="170" spans="1:22" ht="14.25" x14ac:dyDescent="0.2">
      <c r="A170" s="19"/>
      <c r="B170" s="19"/>
      <c r="C170" s="19" t="s">
        <v>503</v>
      </c>
      <c r="D170" s="20" t="s">
        <v>502</v>
      </c>
      <c r="E170" s="9">
        <f>Source!AU129</f>
        <v>10</v>
      </c>
      <c r="F170" s="22"/>
      <c r="G170" s="21"/>
      <c r="H170" s="9"/>
      <c r="I170" s="9"/>
      <c r="J170" s="22">
        <f>SUM(T163:T169)</f>
        <v>1319.19</v>
      </c>
      <c r="K170" s="22"/>
    </row>
    <row r="171" spans="1:22" ht="14.25" x14ac:dyDescent="0.2">
      <c r="A171" s="19"/>
      <c r="B171" s="19"/>
      <c r="C171" s="19" t="s">
        <v>509</v>
      </c>
      <c r="D171" s="20" t="s">
        <v>502</v>
      </c>
      <c r="E171" s="9">
        <f>108</f>
        <v>108</v>
      </c>
      <c r="F171" s="22"/>
      <c r="G171" s="21"/>
      <c r="H171" s="9"/>
      <c r="I171" s="9"/>
      <c r="J171" s="22">
        <f>SUM(V163:V170)</f>
        <v>0.3</v>
      </c>
      <c r="K171" s="22"/>
    </row>
    <row r="172" spans="1:22" ht="14.25" x14ac:dyDescent="0.2">
      <c r="A172" s="19"/>
      <c r="B172" s="19"/>
      <c r="C172" s="19" t="s">
        <v>504</v>
      </c>
      <c r="D172" s="20" t="s">
        <v>505</v>
      </c>
      <c r="E172" s="9">
        <f>Source!AQ129</f>
        <v>1.42</v>
      </c>
      <c r="F172" s="22"/>
      <c r="G172" s="21" t="str">
        <f>Source!DI129</f>
        <v/>
      </c>
      <c r="H172" s="9">
        <f>Source!AV129</f>
        <v>1</v>
      </c>
      <c r="I172" s="9"/>
      <c r="J172" s="22"/>
      <c r="K172" s="22">
        <f>Source!U129</f>
        <v>19.88</v>
      </c>
    </row>
    <row r="173" spans="1:22" ht="15" x14ac:dyDescent="0.25">
      <c r="A173" s="25"/>
      <c r="B173" s="25"/>
      <c r="C173" s="25"/>
      <c r="D173" s="25"/>
      <c r="E173" s="25"/>
      <c r="F173" s="25"/>
      <c r="G173" s="25"/>
      <c r="H173" s="25"/>
      <c r="I173" s="52">
        <f>J165+J166+J168+J169+J170+J171</f>
        <v>23781.17</v>
      </c>
      <c r="J173" s="52"/>
      <c r="K173" s="26">
        <f>IF(Source!I129&lt;&gt;0, ROUND(I173/Source!I129, 2), 0)</f>
        <v>1698.66</v>
      </c>
      <c r="P173" s="24">
        <f>I173</f>
        <v>23781.17</v>
      </c>
    </row>
    <row r="174" spans="1:22" ht="42.75" x14ac:dyDescent="0.2">
      <c r="A174" s="19">
        <v>15</v>
      </c>
      <c r="B174" s="19" t="str">
        <f>Source!F131</f>
        <v>1.18-2403-18-3/1</v>
      </c>
      <c r="C174" s="19" t="str">
        <f>Source!G131</f>
        <v>Техническое обслуживание наружных блоков сплит систем мощностью до 10 кВт - полугодовое</v>
      </c>
      <c r="D174" s="20" t="str">
        <f>Source!H131</f>
        <v>1 блок</v>
      </c>
      <c r="E174" s="9">
        <f>Source!I131</f>
        <v>14</v>
      </c>
      <c r="F174" s="22"/>
      <c r="G174" s="21"/>
      <c r="H174" s="9"/>
      <c r="I174" s="9"/>
      <c r="J174" s="22"/>
      <c r="K174" s="22"/>
      <c r="Q174">
        <f>ROUND((Source!BZ131/100)*ROUND((Source!AF131*Source!AV131)*Source!I131, 2), 2)</f>
        <v>16127.57</v>
      </c>
      <c r="R174">
        <f>Source!X131</f>
        <v>16127.57</v>
      </c>
      <c r="S174">
        <f>ROUND((Source!CA131/100)*ROUND((Source!AF131*Source!AV131)*Source!I131, 2), 2)</f>
        <v>2303.94</v>
      </c>
      <c r="T174">
        <f>Source!Y131</f>
        <v>2303.94</v>
      </c>
      <c r="U174">
        <f>ROUND((175/100)*ROUND((Source!AE131*Source!AV131)*Source!I131, 2), 2)</f>
        <v>1.23</v>
      </c>
      <c r="V174">
        <f>ROUND((108/100)*ROUND(Source!CS131*Source!I131, 2), 2)</f>
        <v>0.76</v>
      </c>
    </row>
    <row r="175" spans="1:22" x14ac:dyDescent="0.2">
      <c r="C175" s="23" t="str">
        <f>"Объем: "&amp;Source!I131&amp;"=2*"&amp;"7"</f>
        <v>Объем: 14=2*7</v>
      </c>
    </row>
    <row r="176" spans="1:22" ht="14.25" x14ac:dyDescent="0.2">
      <c r="A176" s="19"/>
      <c r="B176" s="19"/>
      <c r="C176" s="19" t="s">
        <v>500</v>
      </c>
      <c r="D176" s="20"/>
      <c r="E176" s="9"/>
      <c r="F176" s="22">
        <f>Source!AO131</f>
        <v>1645.67</v>
      </c>
      <c r="G176" s="21" t="str">
        <f>Source!DG131</f>
        <v/>
      </c>
      <c r="H176" s="9">
        <f>Source!AV131</f>
        <v>1</v>
      </c>
      <c r="I176" s="9">
        <f>IF(Source!BA131&lt;&gt; 0, Source!BA131, 1)</f>
        <v>1</v>
      </c>
      <c r="J176" s="22">
        <f>Source!S131</f>
        <v>23039.38</v>
      </c>
      <c r="K176" s="22"/>
    </row>
    <row r="177" spans="1:22" ht="14.25" x14ac:dyDescent="0.2">
      <c r="A177" s="19"/>
      <c r="B177" s="19"/>
      <c r="C177" s="19" t="s">
        <v>506</v>
      </c>
      <c r="D177" s="20"/>
      <c r="E177" s="9"/>
      <c r="F177" s="22">
        <f>Source!AM131</f>
        <v>3.49</v>
      </c>
      <c r="G177" s="21" t="str">
        <f>Source!DE131</f>
        <v/>
      </c>
      <c r="H177" s="9">
        <f>Source!AV131</f>
        <v>1</v>
      </c>
      <c r="I177" s="9">
        <f>IF(Source!BB131&lt;&gt; 0, Source!BB131, 1)</f>
        <v>1</v>
      </c>
      <c r="J177" s="22">
        <f>Source!Q131</f>
        <v>48.86</v>
      </c>
      <c r="K177" s="22"/>
    </row>
    <row r="178" spans="1:22" ht="14.25" x14ac:dyDescent="0.2">
      <c r="A178" s="19"/>
      <c r="B178" s="19"/>
      <c r="C178" s="19" t="s">
        <v>507</v>
      </c>
      <c r="D178" s="20"/>
      <c r="E178" s="9"/>
      <c r="F178" s="22">
        <f>Source!AN131</f>
        <v>0.05</v>
      </c>
      <c r="G178" s="21" t="str">
        <f>Source!DF131</f>
        <v/>
      </c>
      <c r="H178" s="9">
        <f>Source!AV131</f>
        <v>1</v>
      </c>
      <c r="I178" s="9">
        <f>IF(Source!BS131&lt;&gt; 0, Source!BS131, 1)</f>
        <v>1</v>
      </c>
      <c r="J178" s="27">
        <f>Source!R131</f>
        <v>0.7</v>
      </c>
      <c r="K178" s="22"/>
    </row>
    <row r="179" spans="1:22" ht="14.25" x14ac:dyDescent="0.2">
      <c r="A179" s="19"/>
      <c r="B179" s="19"/>
      <c r="C179" s="19" t="s">
        <v>508</v>
      </c>
      <c r="D179" s="20"/>
      <c r="E179" s="9"/>
      <c r="F179" s="22">
        <f>Source!AL131</f>
        <v>0.94</v>
      </c>
      <c r="G179" s="21" t="str">
        <f>Source!DD131</f>
        <v/>
      </c>
      <c r="H179" s="9">
        <f>Source!AW131</f>
        <v>1</v>
      </c>
      <c r="I179" s="9">
        <f>IF(Source!BC131&lt;&gt; 0, Source!BC131, 1)</f>
        <v>1</v>
      </c>
      <c r="J179" s="22">
        <f>Source!P131</f>
        <v>13.16</v>
      </c>
      <c r="K179" s="22"/>
    </row>
    <row r="180" spans="1:22" ht="14.25" x14ac:dyDescent="0.2">
      <c r="A180" s="19"/>
      <c r="B180" s="19"/>
      <c r="C180" s="19" t="s">
        <v>501</v>
      </c>
      <c r="D180" s="20" t="s">
        <v>502</v>
      </c>
      <c r="E180" s="9">
        <f>Source!AT131</f>
        <v>70</v>
      </c>
      <c r="F180" s="22"/>
      <c r="G180" s="21"/>
      <c r="H180" s="9"/>
      <c r="I180" s="9"/>
      <c r="J180" s="22">
        <f>SUM(R174:R179)</f>
        <v>16127.57</v>
      </c>
      <c r="K180" s="22"/>
    </row>
    <row r="181" spans="1:22" ht="14.25" x14ac:dyDescent="0.2">
      <c r="A181" s="19"/>
      <c r="B181" s="19"/>
      <c r="C181" s="19" t="s">
        <v>503</v>
      </c>
      <c r="D181" s="20" t="s">
        <v>502</v>
      </c>
      <c r="E181" s="9">
        <f>Source!AU131</f>
        <v>10</v>
      </c>
      <c r="F181" s="22"/>
      <c r="G181" s="21"/>
      <c r="H181" s="9"/>
      <c r="I181" s="9"/>
      <c r="J181" s="22">
        <f>SUM(T174:T180)</f>
        <v>2303.94</v>
      </c>
      <c r="K181" s="22"/>
    </row>
    <row r="182" spans="1:22" ht="14.25" x14ac:dyDescent="0.2">
      <c r="A182" s="19"/>
      <c r="B182" s="19"/>
      <c r="C182" s="19" t="s">
        <v>509</v>
      </c>
      <c r="D182" s="20" t="s">
        <v>502</v>
      </c>
      <c r="E182" s="9">
        <f>108</f>
        <v>108</v>
      </c>
      <c r="F182" s="22"/>
      <c r="G182" s="21"/>
      <c r="H182" s="9"/>
      <c r="I182" s="9"/>
      <c r="J182" s="22">
        <f>SUM(V174:V181)</f>
        <v>0.76</v>
      </c>
      <c r="K182" s="22"/>
    </row>
    <row r="183" spans="1:22" ht="14.25" x14ac:dyDescent="0.2">
      <c r="A183" s="19"/>
      <c r="B183" s="19"/>
      <c r="C183" s="19" t="s">
        <v>504</v>
      </c>
      <c r="D183" s="20" t="s">
        <v>505</v>
      </c>
      <c r="E183" s="9">
        <f>Source!AQ131</f>
        <v>2.48</v>
      </c>
      <c r="F183" s="22"/>
      <c r="G183" s="21" t="str">
        <f>Source!DI131</f>
        <v/>
      </c>
      <c r="H183" s="9">
        <f>Source!AV131</f>
        <v>1</v>
      </c>
      <c r="I183" s="9"/>
      <c r="J183" s="22"/>
      <c r="K183" s="22">
        <f>Source!U131</f>
        <v>34.72</v>
      </c>
    </row>
    <row r="184" spans="1:22" ht="15" x14ac:dyDescent="0.25">
      <c r="A184" s="25"/>
      <c r="B184" s="25"/>
      <c r="C184" s="25"/>
      <c r="D184" s="25"/>
      <c r="E184" s="25"/>
      <c r="F184" s="25"/>
      <c r="G184" s="25"/>
      <c r="H184" s="25"/>
      <c r="I184" s="52">
        <f>J176+J177+J179+J180+J181+J182</f>
        <v>41533.670000000006</v>
      </c>
      <c r="J184" s="52"/>
      <c r="K184" s="26">
        <f>IF(Source!I131&lt;&gt;0, ROUND(I184/Source!I131, 2), 0)</f>
        <v>2966.69</v>
      </c>
      <c r="P184" s="24">
        <f>I184</f>
        <v>41533.670000000006</v>
      </c>
    </row>
    <row r="186" spans="1:22" ht="15" customHeight="1" x14ac:dyDescent="0.25">
      <c r="A186" s="54" t="str">
        <f>CONCATENATE("Итого по подразделу: ",IF(Source!G136&lt;&gt;"Новый подраздел", Source!G136, ""))</f>
        <v>Итого по подразделу: Вентиляция и кондиционирование</v>
      </c>
      <c r="B186" s="54"/>
      <c r="C186" s="54"/>
      <c r="D186" s="54"/>
      <c r="E186" s="54"/>
      <c r="F186" s="54"/>
      <c r="G186" s="54"/>
      <c r="H186" s="54"/>
      <c r="I186" s="53">
        <f>SUM(P155:P185)</f>
        <v>119269.55000000002</v>
      </c>
      <c r="J186" s="53"/>
      <c r="K186" s="28"/>
    </row>
    <row r="189" spans="1:22" ht="16.5" customHeight="1" x14ac:dyDescent="0.25">
      <c r="A189" s="51" t="str">
        <f>CONCATENATE("Подраздел: ",IF(Source!G166&lt;&gt;"Новый подраздел", Source!G166, ""))</f>
        <v>Подраздел: Система электроснабжения</v>
      </c>
      <c r="B189" s="51"/>
      <c r="C189" s="51"/>
      <c r="D189" s="51"/>
      <c r="E189" s="51"/>
      <c r="F189" s="51"/>
      <c r="G189" s="51"/>
      <c r="H189" s="51"/>
      <c r="I189" s="51"/>
      <c r="J189" s="51"/>
      <c r="K189" s="51"/>
    </row>
    <row r="191" spans="1:22" ht="15" customHeight="1" x14ac:dyDescent="0.25">
      <c r="B191" s="55" t="str">
        <f>Source!G170</f>
        <v>Щитовое оборудование</v>
      </c>
      <c r="C191" s="55"/>
      <c r="D191" s="55"/>
      <c r="E191" s="55"/>
      <c r="F191" s="55"/>
      <c r="G191" s="55"/>
      <c r="H191" s="55"/>
      <c r="I191" s="55"/>
      <c r="J191" s="55"/>
    </row>
    <row r="192" spans="1:22" ht="71.25" x14ac:dyDescent="0.2">
      <c r="A192" s="19">
        <v>16</v>
      </c>
      <c r="B192" s="19" t="str">
        <f>Source!F171</f>
        <v>1.21-2203-2-5/1</v>
      </c>
      <c r="C192" s="19" t="str">
        <f>Source!G171</f>
        <v>Техническое обслуживание силового распределительного пункта с установочными автоматами, число групп 12 / Распределительный щит, 48 модулеё, IP54</v>
      </c>
      <c r="D192" s="20" t="str">
        <f>Source!H171</f>
        <v>шт.</v>
      </c>
      <c r="E192" s="9">
        <f>Source!I171</f>
        <v>7</v>
      </c>
      <c r="F192" s="22"/>
      <c r="G192" s="21"/>
      <c r="H192" s="9"/>
      <c r="I192" s="9"/>
      <c r="J192" s="22"/>
      <c r="K192" s="22"/>
      <c r="Q192">
        <f>ROUND((Source!BZ171/100)*ROUND((Source!AF171*Source!AV171)*Source!I171, 2), 2)</f>
        <v>72616.820000000007</v>
      </c>
      <c r="R192">
        <f>Source!X171</f>
        <v>72616.820000000007</v>
      </c>
      <c r="S192">
        <f>ROUND((Source!CA171/100)*ROUND((Source!AF171*Source!AV171)*Source!I171, 2), 2)</f>
        <v>10373.83</v>
      </c>
      <c r="T192">
        <f>Source!Y171</f>
        <v>10373.83</v>
      </c>
      <c r="U192">
        <f>ROUND((175/100)*ROUND((Source!AE171*Source!AV171)*Source!I171, 2), 2)</f>
        <v>0</v>
      </c>
      <c r="V192">
        <f>ROUND((108/100)*ROUND(Source!CS171*Source!I171, 2), 2)</f>
        <v>0</v>
      </c>
    </row>
    <row r="193" spans="1:22" x14ac:dyDescent="0.2">
      <c r="C193" s="23" t="str">
        <f>"Объем: "&amp;Source!I171&amp;"=1*"&amp;"7"</f>
        <v>Объем: 7=1*7</v>
      </c>
    </row>
    <row r="194" spans="1:22" ht="14.25" x14ac:dyDescent="0.2">
      <c r="A194" s="19"/>
      <c r="B194" s="19"/>
      <c r="C194" s="19" t="s">
        <v>500</v>
      </c>
      <c r="D194" s="20"/>
      <c r="E194" s="9"/>
      <c r="F194" s="22">
        <f>Source!AO171</f>
        <v>14819.76</v>
      </c>
      <c r="G194" s="21" t="str">
        <f>Source!DG171</f>
        <v/>
      </c>
      <c r="H194" s="9">
        <f>Source!AV171</f>
        <v>1</v>
      </c>
      <c r="I194" s="9">
        <f>IF(Source!BA171&lt;&gt; 0, Source!BA171, 1)</f>
        <v>1</v>
      </c>
      <c r="J194" s="22">
        <f>Source!S171</f>
        <v>103738.32</v>
      </c>
      <c r="K194" s="22"/>
    </row>
    <row r="195" spans="1:22" ht="14.25" x14ac:dyDescent="0.2">
      <c r="A195" s="19"/>
      <c r="B195" s="19"/>
      <c r="C195" s="19" t="s">
        <v>508</v>
      </c>
      <c r="D195" s="20"/>
      <c r="E195" s="9"/>
      <c r="F195" s="22">
        <f>Source!AL171</f>
        <v>205.53</v>
      </c>
      <c r="G195" s="21" t="str">
        <f>Source!DD171</f>
        <v/>
      </c>
      <c r="H195" s="9">
        <f>Source!AW171</f>
        <v>1</v>
      </c>
      <c r="I195" s="9">
        <f>IF(Source!BC171&lt;&gt; 0, Source!BC171, 1)</f>
        <v>1</v>
      </c>
      <c r="J195" s="22">
        <f>Source!P171</f>
        <v>1438.71</v>
      </c>
      <c r="K195" s="22"/>
    </row>
    <row r="196" spans="1:22" ht="14.25" x14ac:dyDescent="0.2">
      <c r="A196" s="19"/>
      <c r="B196" s="19"/>
      <c r="C196" s="19" t="s">
        <v>501</v>
      </c>
      <c r="D196" s="20" t="s">
        <v>502</v>
      </c>
      <c r="E196" s="9">
        <f>Source!AT171</f>
        <v>70</v>
      </c>
      <c r="F196" s="22"/>
      <c r="G196" s="21"/>
      <c r="H196" s="9"/>
      <c r="I196" s="9"/>
      <c r="J196" s="22">
        <f>SUM(R192:R195)</f>
        <v>72616.820000000007</v>
      </c>
      <c r="K196" s="22"/>
    </row>
    <row r="197" spans="1:22" ht="14.25" x14ac:dyDescent="0.2">
      <c r="A197" s="19"/>
      <c r="B197" s="19"/>
      <c r="C197" s="19" t="s">
        <v>503</v>
      </c>
      <c r="D197" s="20" t="s">
        <v>502</v>
      </c>
      <c r="E197" s="9">
        <f>Source!AU171</f>
        <v>10</v>
      </c>
      <c r="F197" s="22"/>
      <c r="G197" s="21"/>
      <c r="H197" s="9"/>
      <c r="I197" s="9"/>
      <c r="J197" s="22">
        <f>SUM(T192:T196)</f>
        <v>10373.83</v>
      </c>
      <c r="K197" s="22"/>
    </row>
    <row r="198" spans="1:22" ht="14.25" x14ac:dyDescent="0.2">
      <c r="A198" s="19"/>
      <c r="B198" s="19"/>
      <c r="C198" s="19" t="s">
        <v>504</v>
      </c>
      <c r="D198" s="20" t="s">
        <v>505</v>
      </c>
      <c r="E198" s="9">
        <f>Source!AQ171</f>
        <v>24</v>
      </c>
      <c r="F198" s="22"/>
      <c r="G198" s="21" t="str">
        <f>Source!DI171</f>
        <v/>
      </c>
      <c r="H198" s="9">
        <f>Source!AV171</f>
        <v>1</v>
      </c>
      <c r="I198" s="9"/>
      <c r="J198" s="22"/>
      <c r="K198" s="22">
        <f>Source!U171</f>
        <v>168</v>
      </c>
    </row>
    <row r="199" spans="1:22" ht="15" x14ac:dyDescent="0.25">
      <c r="A199" s="25"/>
      <c r="B199" s="25"/>
      <c r="C199" s="25"/>
      <c r="D199" s="25"/>
      <c r="E199" s="25"/>
      <c r="F199" s="25"/>
      <c r="G199" s="25"/>
      <c r="H199" s="25"/>
      <c r="I199" s="52">
        <f>J194+J195+J196+J197</f>
        <v>188167.68000000002</v>
      </c>
      <c r="J199" s="52"/>
      <c r="K199" s="26">
        <f>IF(Source!I171&lt;&gt;0, ROUND(I199/Source!I171, 2), 0)</f>
        <v>26881.1</v>
      </c>
      <c r="P199" s="24">
        <f>I199</f>
        <v>188167.68000000002</v>
      </c>
    </row>
    <row r="200" spans="1:22" ht="71.25" x14ac:dyDescent="0.2">
      <c r="A200" s="19">
        <v>17</v>
      </c>
      <c r="B200" s="19" t="str">
        <f>Source!F174</f>
        <v>1.21-2303-3-1/1</v>
      </c>
      <c r="C200" s="19" t="str">
        <f>Source!G174</f>
        <v>Техническое обслуживание выключателей автоматических трехполюсных установочных, номинальный ток до 200 А  /  3р, Iн= 63А</v>
      </c>
      <c r="D200" s="20" t="str">
        <f>Source!H174</f>
        <v>шт.</v>
      </c>
      <c r="E200" s="9">
        <f>Source!I174</f>
        <v>7</v>
      </c>
      <c r="F200" s="22"/>
      <c r="G200" s="21"/>
      <c r="H200" s="9"/>
      <c r="I200" s="9"/>
      <c r="J200" s="22"/>
      <c r="K200" s="22"/>
      <c r="Q200">
        <f>ROUND((Source!BZ174/100)*ROUND((Source!AF174*Source!AV174)*Source!I174, 2), 2)</f>
        <v>4538.53</v>
      </c>
      <c r="R200">
        <f>Source!X174</f>
        <v>4538.53</v>
      </c>
      <c r="S200">
        <f>ROUND((Source!CA174/100)*ROUND((Source!AF174*Source!AV174)*Source!I174, 2), 2)</f>
        <v>648.36</v>
      </c>
      <c r="T200">
        <f>Source!Y174</f>
        <v>648.36</v>
      </c>
      <c r="U200">
        <f>ROUND((175/100)*ROUND((Source!AE174*Source!AV174)*Source!I174, 2), 2)</f>
        <v>0</v>
      </c>
      <c r="V200">
        <f>ROUND((108/100)*ROUND(Source!CS174*Source!I174, 2), 2)</f>
        <v>0</v>
      </c>
    </row>
    <row r="201" spans="1:22" x14ac:dyDescent="0.2">
      <c r="C201" s="23" t="str">
        <f>"Объем: "&amp;Source!I174&amp;"=1*"&amp;"7"</f>
        <v>Объем: 7=1*7</v>
      </c>
    </row>
    <row r="202" spans="1:22" ht="14.25" x14ac:dyDescent="0.2">
      <c r="A202" s="19"/>
      <c r="B202" s="19"/>
      <c r="C202" s="19" t="s">
        <v>500</v>
      </c>
      <c r="D202" s="20"/>
      <c r="E202" s="9"/>
      <c r="F202" s="22">
        <f>Source!AO174</f>
        <v>926.23</v>
      </c>
      <c r="G202" s="21" t="str">
        <f>Source!DG174</f>
        <v/>
      </c>
      <c r="H202" s="9">
        <f>Source!AV174</f>
        <v>1</v>
      </c>
      <c r="I202" s="9">
        <f>IF(Source!BA174&lt;&gt; 0, Source!BA174, 1)</f>
        <v>1</v>
      </c>
      <c r="J202" s="22">
        <f>Source!S174</f>
        <v>6483.61</v>
      </c>
      <c r="K202" s="22"/>
    </row>
    <row r="203" spans="1:22" ht="14.25" x14ac:dyDescent="0.2">
      <c r="A203" s="19"/>
      <c r="B203" s="19"/>
      <c r="C203" s="19" t="s">
        <v>508</v>
      </c>
      <c r="D203" s="20"/>
      <c r="E203" s="9"/>
      <c r="F203" s="22">
        <f>Source!AL174</f>
        <v>12.39</v>
      </c>
      <c r="G203" s="21" t="str">
        <f>Source!DD174</f>
        <v/>
      </c>
      <c r="H203" s="9">
        <f>Source!AW174</f>
        <v>1</v>
      </c>
      <c r="I203" s="9">
        <f>IF(Source!BC174&lt;&gt; 0, Source!BC174, 1)</f>
        <v>1</v>
      </c>
      <c r="J203" s="22">
        <f>Source!P174</f>
        <v>86.73</v>
      </c>
      <c r="K203" s="22"/>
    </row>
    <row r="204" spans="1:22" ht="14.25" x14ac:dyDescent="0.2">
      <c r="A204" s="19"/>
      <c r="B204" s="19"/>
      <c r="C204" s="19" t="s">
        <v>501</v>
      </c>
      <c r="D204" s="20" t="s">
        <v>502</v>
      </c>
      <c r="E204" s="9">
        <f>Source!AT174</f>
        <v>70</v>
      </c>
      <c r="F204" s="22"/>
      <c r="G204" s="21"/>
      <c r="H204" s="9"/>
      <c r="I204" s="9"/>
      <c r="J204" s="22">
        <f>SUM(R200:R203)</f>
        <v>4538.53</v>
      </c>
      <c r="K204" s="22"/>
    </row>
    <row r="205" spans="1:22" ht="14.25" x14ac:dyDescent="0.2">
      <c r="A205" s="19"/>
      <c r="B205" s="19"/>
      <c r="C205" s="19" t="s">
        <v>503</v>
      </c>
      <c r="D205" s="20" t="s">
        <v>502</v>
      </c>
      <c r="E205" s="9">
        <f>Source!AU174</f>
        <v>10</v>
      </c>
      <c r="F205" s="22"/>
      <c r="G205" s="21"/>
      <c r="H205" s="9"/>
      <c r="I205" s="9"/>
      <c r="J205" s="22">
        <f>SUM(T200:T204)</f>
        <v>648.36</v>
      </c>
      <c r="K205" s="22"/>
    </row>
    <row r="206" spans="1:22" ht="14.25" x14ac:dyDescent="0.2">
      <c r="A206" s="19"/>
      <c r="B206" s="19"/>
      <c r="C206" s="19" t="s">
        <v>504</v>
      </c>
      <c r="D206" s="20" t="s">
        <v>505</v>
      </c>
      <c r="E206" s="9">
        <f>Source!AQ174</f>
        <v>1.5</v>
      </c>
      <c r="F206" s="22"/>
      <c r="G206" s="21" t="str">
        <f>Source!DI174</f>
        <v/>
      </c>
      <c r="H206" s="9">
        <f>Source!AV174</f>
        <v>1</v>
      </c>
      <c r="I206" s="9"/>
      <c r="J206" s="22"/>
      <c r="K206" s="22">
        <f>Source!U174</f>
        <v>10.5</v>
      </c>
    </row>
    <row r="207" spans="1:22" ht="15" x14ac:dyDescent="0.25">
      <c r="A207" s="25"/>
      <c r="B207" s="25"/>
      <c r="C207" s="25"/>
      <c r="D207" s="25"/>
      <c r="E207" s="25"/>
      <c r="F207" s="25"/>
      <c r="G207" s="25"/>
      <c r="H207" s="25"/>
      <c r="I207" s="52">
        <f>J202+J203+J204+J205</f>
        <v>11757.23</v>
      </c>
      <c r="J207" s="52"/>
      <c r="K207" s="26">
        <f>IF(Source!I174&lt;&gt;0, ROUND(I207/Source!I174, 2), 0)</f>
        <v>1679.6</v>
      </c>
      <c r="P207" s="24">
        <f>I207</f>
        <v>11757.23</v>
      </c>
    </row>
    <row r="208" spans="1:22" ht="57" x14ac:dyDescent="0.2">
      <c r="A208" s="19">
        <v>18</v>
      </c>
      <c r="B208" s="19" t="str">
        <f>Source!F175</f>
        <v>1.21-2303-28-1/1</v>
      </c>
      <c r="C208" s="19" t="str">
        <f>Source!G175</f>
        <v>Техническое обслуживание автоматического выключателя до 160 А / Устройство защитного отключения 4p, Iн= 63А, диф=100мА</v>
      </c>
      <c r="D208" s="20" t="str">
        <f>Source!H175</f>
        <v>шт.</v>
      </c>
      <c r="E208" s="9">
        <f>Source!I175</f>
        <v>7</v>
      </c>
      <c r="F208" s="22"/>
      <c r="G208" s="21"/>
      <c r="H208" s="9"/>
      <c r="I208" s="9"/>
      <c r="J208" s="22"/>
      <c r="K208" s="22"/>
      <c r="Q208">
        <f>ROUND((Source!BZ175/100)*ROUND((Source!AF175*Source!AV175)*Source!I175, 2), 2)</f>
        <v>2086.42</v>
      </c>
      <c r="R208">
        <f>Source!X175</f>
        <v>2086.42</v>
      </c>
      <c r="S208">
        <f>ROUND((Source!CA175/100)*ROUND((Source!AF175*Source!AV175)*Source!I175, 2), 2)</f>
        <v>298.06</v>
      </c>
      <c r="T208">
        <f>Source!Y175</f>
        <v>298.06</v>
      </c>
      <c r="U208">
        <f>ROUND((175/100)*ROUND((Source!AE175*Source!AV175)*Source!I175, 2), 2)</f>
        <v>0</v>
      </c>
      <c r="V208">
        <f>ROUND((108/100)*ROUND(Source!CS175*Source!I175, 2), 2)</f>
        <v>0</v>
      </c>
    </row>
    <row r="209" spans="1:22" x14ac:dyDescent="0.2">
      <c r="C209" s="23" t="str">
        <f>"Объем: "&amp;Source!I175&amp;"=1*"&amp;"7"</f>
        <v>Объем: 7=1*7</v>
      </c>
    </row>
    <row r="210" spans="1:22" ht="14.25" x14ac:dyDescent="0.2">
      <c r="A210" s="19"/>
      <c r="B210" s="19"/>
      <c r="C210" s="19" t="s">
        <v>500</v>
      </c>
      <c r="D210" s="20"/>
      <c r="E210" s="9"/>
      <c r="F210" s="22">
        <f>Source!AO175</f>
        <v>212.9</v>
      </c>
      <c r="G210" s="21" t="str">
        <f>Source!DG175</f>
        <v>)*2</v>
      </c>
      <c r="H210" s="9">
        <f>Source!AV175</f>
        <v>1</v>
      </c>
      <c r="I210" s="9">
        <f>IF(Source!BA175&lt;&gt; 0, Source!BA175, 1)</f>
        <v>1</v>
      </c>
      <c r="J210" s="22">
        <f>Source!S175</f>
        <v>2980.6</v>
      </c>
      <c r="K210" s="22"/>
    </row>
    <row r="211" spans="1:22" ht="14.25" x14ac:dyDescent="0.2">
      <c r="A211" s="19"/>
      <c r="B211" s="19"/>
      <c r="C211" s="19" t="s">
        <v>508</v>
      </c>
      <c r="D211" s="20"/>
      <c r="E211" s="9"/>
      <c r="F211" s="22">
        <f>Source!AL175</f>
        <v>4.53</v>
      </c>
      <c r="G211" s="21" t="str">
        <f>Source!DD175</f>
        <v>)*2</v>
      </c>
      <c r="H211" s="9">
        <f>Source!AW175</f>
        <v>1</v>
      </c>
      <c r="I211" s="9">
        <f>IF(Source!BC175&lt;&gt; 0, Source!BC175, 1)</f>
        <v>1</v>
      </c>
      <c r="J211" s="22">
        <f>Source!P175</f>
        <v>63.42</v>
      </c>
      <c r="K211" s="22"/>
    </row>
    <row r="212" spans="1:22" ht="14.25" x14ac:dyDescent="0.2">
      <c r="A212" s="19"/>
      <c r="B212" s="19"/>
      <c r="C212" s="19" t="s">
        <v>501</v>
      </c>
      <c r="D212" s="20" t="s">
        <v>502</v>
      </c>
      <c r="E212" s="9">
        <f>Source!AT175</f>
        <v>70</v>
      </c>
      <c r="F212" s="22"/>
      <c r="G212" s="21"/>
      <c r="H212" s="9"/>
      <c r="I212" s="9"/>
      <c r="J212" s="22">
        <f>SUM(R208:R211)</f>
        <v>2086.42</v>
      </c>
      <c r="K212" s="22"/>
    </row>
    <row r="213" spans="1:22" ht="14.25" x14ac:dyDescent="0.2">
      <c r="A213" s="19"/>
      <c r="B213" s="19"/>
      <c r="C213" s="19" t="s">
        <v>503</v>
      </c>
      <c r="D213" s="20" t="s">
        <v>502</v>
      </c>
      <c r="E213" s="9">
        <f>Source!AU175</f>
        <v>10</v>
      </c>
      <c r="F213" s="22"/>
      <c r="G213" s="21"/>
      <c r="H213" s="9"/>
      <c r="I213" s="9"/>
      <c r="J213" s="22">
        <f>SUM(T208:T212)</f>
        <v>298.06</v>
      </c>
      <c r="K213" s="22"/>
    </row>
    <row r="214" spans="1:22" ht="14.25" x14ac:dyDescent="0.2">
      <c r="A214" s="19"/>
      <c r="B214" s="19"/>
      <c r="C214" s="19" t="s">
        <v>504</v>
      </c>
      <c r="D214" s="20" t="s">
        <v>505</v>
      </c>
      <c r="E214" s="9">
        <f>Source!AQ175</f>
        <v>0.3</v>
      </c>
      <c r="F214" s="22"/>
      <c r="G214" s="21" t="str">
        <f>Source!DI175</f>
        <v>)*2</v>
      </c>
      <c r="H214" s="9">
        <f>Source!AV175</f>
        <v>1</v>
      </c>
      <c r="I214" s="9"/>
      <c r="J214" s="22"/>
      <c r="K214" s="22">
        <f>Source!U175</f>
        <v>4.2</v>
      </c>
    </row>
    <row r="215" spans="1:22" ht="15" x14ac:dyDescent="0.25">
      <c r="A215" s="25"/>
      <c r="B215" s="25"/>
      <c r="C215" s="25"/>
      <c r="D215" s="25"/>
      <c r="E215" s="25"/>
      <c r="F215" s="25"/>
      <c r="G215" s="25"/>
      <c r="H215" s="25"/>
      <c r="I215" s="52">
        <f>J210+J211+J212+J213</f>
        <v>5428.5000000000009</v>
      </c>
      <c r="J215" s="52"/>
      <c r="K215" s="26">
        <f>IF(Source!I175&lt;&gt;0, ROUND(I215/Source!I175, 2), 0)</f>
        <v>775.5</v>
      </c>
      <c r="P215" s="24">
        <f>I215</f>
        <v>5428.5000000000009</v>
      </c>
    </row>
    <row r="216" spans="1:22" ht="57" x14ac:dyDescent="0.2">
      <c r="A216" s="19">
        <v>19</v>
      </c>
      <c r="B216" s="19" t="str">
        <f>Source!F177</f>
        <v>1.21-2303-19-1/1</v>
      </c>
      <c r="C216" s="19" t="str">
        <f>Source!G177</f>
        <v>Техническое обслуживание выключателей автоматических однополюсных установочных на номинальный ток до 63 А/ 1р, Iн=10А</v>
      </c>
      <c r="D216" s="20" t="str">
        <f>Source!H177</f>
        <v>шт.</v>
      </c>
      <c r="E216" s="9">
        <f>Source!I177</f>
        <v>21</v>
      </c>
      <c r="F216" s="22"/>
      <c r="G216" s="21"/>
      <c r="H216" s="9"/>
      <c r="I216" s="9"/>
      <c r="J216" s="22"/>
      <c r="K216" s="22"/>
      <c r="Q216">
        <f>ROUND((Source!BZ177/100)*ROUND((Source!AF177*Source!AV177)*Source!I177, 2), 2)</f>
        <v>10892.55</v>
      </c>
      <c r="R216">
        <f>Source!X177</f>
        <v>10892.55</v>
      </c>
      <c r="S216">
        <f>ROUND((Source!CA177/100)*ROUND((Source!AF177*Source!AV177)*Source!I177, 2), 2)</f>
        <v>1556.08</v>
      </c>
      <c r="T216">
        <f>Source!Y177</f>
        <v>1556.08</v>
      </c>
      <c r="U216">
        <f>ROUND((175/100)*ROUND((Source!AE177*Source!AV177)*Source!I177, 2), 2)</f>
        <v>0</v>
      </c>
      <c r="V216">
        <f>ROUND((108/100)*ROUND(Source!CS177*Source!I177, 2), 2)</f>
        <v>0</v>
      </c>
    </row>
    <row r="217" spans="1:22" x14ac:dyDescent="0.2">
      <c r="C217" s="23" t="str">
        <f>"Объем: "&amp;Source!I177&amp;"=3*"&amp;"7"</f>
        <v>Объем: 21=3*7</v>
      </c>
    </row>
    <row r="218" spans="1:22" ht="14.25" x14ac:dyDescent="0.2">
      <c r="A218" s="19"/>
      <c r="B218" s="19"/>
      <c r="C218" s="19" t="s">
        <v>500</v>
      </c>
      <c r="D218" s="20"/>
      <c r="E218" s="9"/>
      <c r="F218" s="22">
        <f>Source!AO177</f>
        <v>740.99</v>
      </c>
      <c r="G218" s="21" t="str">
        <f>Source!DG177</f>
        <v/>
      </c>
      <c r="H218" s="9">
        <f>Source!AV177</f>
        <v>1</v>
      </c>
      <c r="I218" s="9">
        <f>IF(Source!BA177&lt;&gt; 0, Source!BA177, 1)</f>
        <v>1</v>
      </c>
      <c r="J218" s="22">
        <f>Source!S177</f>
        <v>15560.79</v>
      </c>
      <c r="K218" s="22"/>
    </row>
    <row r="219" spans="1:22" ht="14.25" x14ac:dyDescent="0.2">
      <c r="A219" s="19"/>
      <c r="B219" s="19"/>
      <c r="C219" s="19" t="s">
        <v>508</v>
      </c>
      <c r="D219" s="20"/>
      <c r="E219" s="9"/>
      <c r="F219" s="22">
        <f>Source!AL177</f>
        <v>1.7</v>
      </c>
      <c r="G219" s="21" t="str">
        <f>Source!DD177</f>
        <v/>
      </c>
      <c r="H219" s="9">
        <f>Source!AW177</f>
        <v>1</v>
      </c>
      <c r="I219" s="9">
        <f>IF(Source!BC177&lt;&gt; 0, Source!BC177, 1)</f>
        <v>1</v>
      </c>
      <c r="J219" s="22">
        <f>Source!P177</f>
        <v>35.700000000000003</v>
      </c>
      <c r="K219" s="22"/>
    </row>
    <row r="220" spans="1:22" ht="14.25" x14ac:dyDescent="0.2">
      <c r="A220" s="19"/>
      <c r="B220" s="19"/>
      <c r="C220" s="19" t="s">
        <v>501</v>
      </c>
      <c r="D220" s="20" t="s">
        <v>502</v>
      </c>
      <c r="E220" s="9">
        <f>Source!AT177</f>
        <v>70</v>
      </c>
      <c r="F220" s="22"/>
      <c r="G220" s="21"/>
      <c r="H220" s="9"/>
      <c r="I220" s="9"/>
      <c r="J220" s="22">
        <f>SUM(R216:R219)</f>
        <v>10892.55</v>
      </c>
      <c r="K220" s="22"/>
    </row>
    <row r="221" spans="1:22" ht="14.25" x14ac:dyDescent="0.2">
      <c r="A221" s="19"/>
      <c r="B221" s="19"/>
      <c r="C221" s="19" t="s">
        <v>503</v>
      </c>
      <c r="D221" s="20" t="s">
        <v>502</v>
      </c>
      <c r="E221" s="9">
        <f>Source!AU177</f>
        <v>10</v>
      </c>
      <c r="F221" s="22"/>
      <c r="G221" s="21"/>
      <c r="H221" s="9"/>
      <c r="I221" s="9"/>
      <c r="J221" s="22">
        <f>SUM(T216:T220)</f>
        <v>1556.08</v>
      </c>
      <c r="K221" s="22"/>
    </row>
    <row r="222" spans="1:22" ht="14.25" x14ac:dyDescent="0.2">
      <c r="A222" s="19"/>
      <c r="B222" s="19"/>
      <c r="C222" s="19" t="s">
        <v>504</v>
      </c>
      <c r="D222" s="20" t="s">
        <v>505</v>
      </c>
      <c r="E222" s="9">
        <f>Source!AQ177</f>
        <v>1.2</v>
      </c>
      <c r="F222" s="22"/>
      <c r="G222" s="21" t="str">
        <f>Source!DI177</f>
        <v/>
      </c>
      <c r="H222" s="9">
        <f>Source!AV177</f>
        <v>1</v>
      </c>
      <c r="I222" s="9"/>
      <c r="J222" s="22"/>
      <c r="K222" s="22">
        <f>Source!U177</f>
        <v>25.2</v>
      </c>
    </row>
    <row r="223" spans="1:22" ht="15" x14ac:dyDescent="0.25">
      <c r="A223" s="25"/>
      <c r="B223" s="25"/>
      <c r="C223" s="25"/>
      <c r="D223" s="25"/>
      <c r="E223" s="25"/>
      <c r="F223" s="25"/>
      <c r="G223" s="25"/>
      <c r="H223" s="25"/>
      <c r="I223" s="52">
        <f>J218+J219+J220+J221</f>
        <v>28045.120000000003</v>
      </c>
      <c r="J223" s="52"/>
      <c r="K223" s="26">
        <f>IF(Source!I177&lt;&gt;0, ROUND(I223/Source!I177, 2), 0)</f>
        <v>1335.48</v>
      </c>
      <c r="P223" s="24">
        <f>I223</f>
        <v>28045.120000000003</v>
      </c>
    </row>
    <row r="224" spans="1:22" ht="71.25" x14ac:dyDescent="0.2">
      <c r="A224" s="19">
        <v>20</v>
      </c>
      <c r="B224" s="19" t="str">
        <f>Source!F178</f>
        <v>1.21-2303-28-1/1</v>
      </c>
      <c r="C224" s="19" t="str">
        <f>Source!G178</f>
        <v>Техническое обслуживание автоматического выключателя до 160 А / Дифференциальный автоматический выключатель, Iн=16А, Iдиф=30мА</v>
      </c>
      <c r="D224" s="20" t="str">
        <f>Source!H178</f>
        <v>шт.</v>
      </c>
      <c r="E224" s="9">
        <f>Source!I178</f>
        <v>84</v>
      </c>
      <c r="F224" s="22"/>
      <c r="G224" s="21"/>
      <c r="H224" s="9"/>
      <c r="I224" s="9"/>
      <c r="J224" s="22"/>
      <c r="K224" s="22"/>
      <c r="Q224">
        <f>ROUND((Source!BZ178/100)*ROUND((Source!AF178*Source!AV178)*Source!I178, 2), 2)</f>
        <v>25037.040000000001</v>
      </c>
      <c r="R224">
        <f>Source!X178</f>
        <v>25037.040000000001</v>
      </c>
      <c r="S224">
        <f>ROUND((Source!CA178/100)*ROUND((Source!AF178*Source!AV178)*Source!I178, 2), 2)</f>
        <v>3576.72</v>
      </c>
      <c r="T224">
        <f>Source!Y178</f>
        <v>3576.72</v>
      </c>
      <c r="U224">
        <f>ROUND((175/100)*ROUND((Source!AE178*Source!AV178)*Source!I178, 2), 2)</f>
        <v>0</v>
      </c>
      <c r="V224">
        <f>ROUND((108/100)*ROUND(Source!CS178*Source!I178, 2), 2)</f>
        <v>0</v>
      </c>
    </row>
    <row r="225" spans="1:22" x14ac:dyDescent="0.2">
      <c r="C225" s="23" t="str">
        <f>"Объем: "&amp;Source!I178&amp;"=12*"&amp;"7"</f>
        <v>Объем: 84=12*7</v>
      </c>
    </row>
    <row r="226" spans="1:22" ht="14.25" x14ac:dyDescent="0.2">
      <c r="A226" s="19"/>
      <c r="B226" s="19"/>
      <c r="C226" s="19" t="s">
        <v>500</v>
      </c>
      <c r="D226" s="20"/>
      <c r="E226" s="9"/>
      <c r="F226" s="22">
        <f>Source!AO178</f>
        <v>212.9</v>
      </c>
      <c r="G226" s="21" t="str">
        <f>Source!DG178</f>
        <v>)*2</v>
      </c>
      <c r="H226" s="9">
        <f>Source!AV178</f>
        <v>1</v>
      </c>
      <c r="I226" s="9">
        <f>IF(Source!BA178&lt;&gt; 0, Source!BA178, 1)</f>
        <v>1</v>
      </c>
      <c r="J226" s="22">
        <f>Source!S178</f>
        <v>35767.199999999997</v>
      </c>
      <c r="K226" s="22"/>
    </row>
    <row r="227" spans="1:22" ht="14.25" x14ac:dyDescent="0.2">
      <c r="A227" s="19"/>
      <c r="B227" s="19"/>
      <c r="C227" s="19" t="s">
        <v>508</v>
      </c>
      <c r="D227" s="20"/>
      <c r="E227" s="9"/>
      <c r="F227" s="22">
        <f>Source!AL178</f>
        <v>4.53</v>
      </c>
      <c r="G227" s="21" t="str">
        <f>Source!DD178</f>
        <v>)*2</v>
      </c>
      <c r="H227" s="9">
        <f>Source!AW178</f>
        <v>1</v>
      </c>
      <c r="I227" s="9">
        <f>IF(Source!BC178&lt;&gt; 0, Source!BC178, 1)</f>
        <v>1</v>
      </c>
      <c r="J227" s="22">
        <f>Source!P178</f>
        <v>761.04</v>
      </c>
      <c r="K227" s="22"/>
    </row>
    <row r="228" spans="1:22" ht="14.25" x14ac:dyDescent="0.2">
      <c r="A228" s="19"/>
      <c r="B228" s="19"/>
      <c r="C228" s="19" t="s">
        <v>501</v>
      </c>
      <c r="D228" s="20" t="s">
        <v>502</v>
      </c>
      <c r="E228" s="9">
        <f>Source!AT178</f>
        <v>70</v>
      </c>
      <c r="F228" s="22"/>
      <c r="G228" s="21"/>
      <c r="H228" s="9"/>
      <c r="I228" s="9"/>
      <c r="J228" s="22">
        <f>SUM(R224:R227)</f>
        <v>25037.040000000001</v>
      </c>
      <c r="K228" s="22"/>
    </row>
    <row r="229" spans="1:22" ht="14.25" x14ac:dyDescent="0.2">
      <c r="A229" s="19"/>
      <c r="B229" s="19"/>
      <c r="C229" s="19" t="s">
        <v>503</v>
      </c>
      <c r="D229" s="20" t="s">
        <v>502</v>
      </c>
      <c r="E229" s="9">
        <f>Source!AU178</f>
        <v>10</v>
      </c>
      <c r="F229" s="22"/>
      <c r="G229" s="21"/>
      <c r="H229" s="9"/>
      <c r="I229" s="9"/>
      <c r="J229" s="22">
        <f>SUM(T224:T228)</f>
        <v>3576.72</v>
      </c>
      <c r="K229" s="22"/>
    </row>
    <row r="230" spans="1:22" ht="14.25" x14ac:dyDescent="0.2">
      <c r="A230" s="19"/>
      <c r="B230" s="19"/>
      <c r="C230" s="19" t="s">
        <v>504</v>
      </c>
      <c r="D230" s="20" t="s">
        <v>505</v>
      </c>
      <c r="E230" s="9">
        <f>Source!AQ178</f>
        <v>0.3</v>
      </c>
      <c r="F230" s="22"/>
      <c r="G230" s="21" t="str">
        <f>Source!DI178</f>
        <v>)*2</v>
      </c>
      <c r="H230" s="9">
        <f>Source!AV178</f>
        <v>1</v>
      </c>
      <c r="I230" s="9"/>
      <c r="J230" s="22"/>
      <c r="K230" s="22">
        <f>Source!U178</f>
        <v>50.4</v>
      </c>
    </row>
    <row r="231" spans="1:22" ht="15" x14ac:dyDescent="0.25">
      <c r="A231" s="25"/>
      <c r="B231" s="25"/>
      <c r="C231" s="25"/>
      <c r="D231" s="25"/>
      <c r="E231" s="25"/>
      <c r="F231" s="25"/>
      <c r="G231" s="25"/>
      <c r="H231" s="25"/>
      <c r="I231" s="52">
        <f>J226+J227+J228+J229</f>
        <v>65142</v>
      </c>
      <c r="J231" s="52"/>
      <c r="K231" s="26">
        <f>IF(Source!I178&lt;&gt;0, ROUND(I231/Source!I178, 2), 0)</f>
        <v>775.5</v>
      </c>
      <c r="P231" s="24">
        <f>I231</f>
        <v>65142</v>
      </c>
    </row>
    <row r="233" spans="1:22" ht="15" customHeight="1" x14ac:dyDescent="0.25">
      <c r="B233" s="55" t="str">
        <f>Source!G179</f>
        <v>Свелильники</v>
      </c>
      <c r="C233" s="55"/>
      <c r="D233" s="55"/>
      <c r="E233" s="55"/>
      <c r="F233" s="55"/>
      <c r="G233" s="55"/>
      <c r="H233" s="55"/>
      <c r="I233" s="55"/>
      <c r="J233" s="55"/>
    </row>
    <row r="234" spans="1:22" ht="108" x14ac:dyDescent="0.2">
      <c r="A234" s="19">
        <v>21</v>
      </c>
      <c r="B234" s="19" t="s">
        <v>510</v>
      </c>
      <c r="C234" s="19" t="s">
        <v>511</v>
      </c>
      <c r="D234" s="20" t="str">
        <f>Source!H180</f>
        <v>шт.</v>
      </c>
      <c r="E234" s="9">
        <f>Source!I180</f>
        <v>112</v>
      </c>
      <c r="F234" s="22"/>
      <c r="G234" s="21"/>
      <c r="H234" s="9"/>
      <c r="I234" s="9"/>
      <c r="J234" s="22"/>
      <c r="K234" s="22"/>
      <c r="Q234">
        <f>ROUND((Source!BZ180/100)*ROUND((Source!AF180*Source!AV180)*Source!I180, 2), 2)</f>
        <v>18335</v>
      </c>
      <c r="R234">
        <f>Source!X180</f>
        <v>18335</v>
      </c>
      <c r="S234">
        <f>ROUND((Source!CA180/100)*ROUND((Source!AF180*Source!AV180)*Source!I180, 2), 2)</f>
        <v>2619.29</v>
      </c>
      <c r="T234">
        <f>Source!Y180</f>
        <v>2619.29</v>
      </c>
      <c r="U234">
        <f>ROUND((175/100)*ROUND((Source!AE180*Source!AV180)*Source!I180, 2), 2)</f>
        <v>0</v>
      </c>
      <c r="V234">
        <f>ROUND((108/100)*ROUND(Source!CS180*Source!I180, 2), 2)</f>
        <v>0</v>
      </c>
    </row>
    <row r="235" spans="1:22" x14ac:dyDescent="0.2">
      <c r="C235" s="23" t="str">
        <f>"Объем: "&amp;Source!I180&amp;"=16*"&amp;"7"</f>
        <v>Объем: 112=16*7</v>
      </c>
    </row>
    <row r="236" spans="1:22" ht="14.25" x14ac:dyDescent="0.2">
      <c r="A236" s="19"/>
      <c r="B236" s="19"/>
      <c r="C236" s="19" t="s">
        <v>500</v>
      </c>
      <c r="D236" s="20"/>
      <c r="E236" s="9"/>
      <c r="F236" s="22">
        <f>Source!AO180</f>
        <v>224.87</v>
      </c>
      <c r="G236" s="21" t="str">
        <f>Source!DG180</f>
        <v>)*1,04</v>
      </c>
      <c r="H236" s="9">
        <f>Source!AV180</f>
        <v>1</v>
      </c>
      <c r="I236" s="9">
        <f>IF(Source!BA180&lt;&gt; 0, Source!BA180, 1)</f>
        <v>1</v>
      </c>
      <c r="J236" s="22">
        <f>Source!S180</f>
        <v>26192.86</v>
      </c>
      <c r="K236" s="22"/>
    </row>
    <row r="237" spans="1:22" ht="14.25" x14ac:dyDescent="0.2">
      <c r="A237" s="19"/>
      <c r="B237" s="19"/>
      <c r="C237" s="19" t="s">
        <v>508</v>
      </c>
      <c r="D237" s="20"/>
      <c r="E237" s="9"/>
      <c r="F237" s="22">
        <f>Source!AL180</f>
        <v>1.26</v>
      </c>
      <c r="G237" s="21" t="str">
        <f>Source!DD180</f>
        <v/>
      </c>
      <c r="H237" s="9">
        <f>Source!AW180</f>
        <v>1</v>
      </c>
      <c r="I237" s="9">
        <f>IF(Source!BC180&lt;&gt; 0, Source!BC180, 1)</f>
        <v>1</v>
      </c>
      <c r="J237" s="22">
        <f>Source!P180</f>
        <v>141.12</v>
      </c>
      <c r="K237" s="22"/>
    </row>
    <row r="238" spans="1:22" ht="14.25" x14ac:dyDescent="0.2">
      <c r="A238" s="19"/>
      <c r="B238" s="19"/>
      <c r="C238" s="19" t="s">
        <v>501</v>
      </c>
      <c r="D238" s="20" t="s">
        <v>502</v>
      </c>
      <c r="E238" s="9">
        <f>Source!AT180</f>
        <v>70</v>
      </c>
      <c r="F238" s="22"/>
      <c r="G238" s="21"/>
      <c r="H238" s="9"/>
      <c r="I238" s="9"/>
      <c r="J238" s="22">
        <f>SUM(R234:R237)</f>
        <v>18335</v>
      </c>
      <c r="K238" s="22"/>
    </row>
    <row r="239" spans="1:22" ht="14.25" x14ac:dyDescent="0.2">
      <c r="A239" s="19"/>
      <c r="B239" s="19"/>
      <c r="C239" s="19" t="s">
        <v>503</v>
      </c>
      <c r="D239" s="20" t="s">
        <v>502</v>
      </c>
      <c r="E239" s="9">
        <f>Source!AU180</f>
        <v>10</v>
      </c>
      <c r="F239" s="22"/>
      <c r="G239" s="21"/>
      <c r="H239" s="9"/>
      <c r="I239" s="9"/>
      <c r="J239" s="22">
        <f>SUM(T234:T238)</f>
        <v>2619.29</v>
      </c>
      <c r="K239" s="22"/>
    </row>
    <row r="240" spans="1:22" ht="14.25" x14ac:dyDescent="0.2">
      <c r="A240" s="19"/>
      <c r="B240" s="19"/>
      <c r="C240" s="19" t="s">
        <v>504</v>
      </c>
      <c r="D240" s="20" t="s">
        <v>505</v>
      </c>
      <c r="E240" s="9">
        <f>Source!AQ180</f>
        <v>0.4</v>
      </c>
      <c r="F240" s="22"/>
      <c r="G240" s="21" t="str">
        <f>Source!DI180</f>
        <v>)*1,04</v>
      </c>
      <c r="H240" s="9">
        <f>Source!AV180</f>
        <v>1</v>
      </c>
      <c r="I240" s="9"/>
      <c r="J240" s="22"/>
      <c r="K240" s="22">
        <f>Source!U180</f>
        <v>46.592000000000006</v>
      </c>
    </row>
    <row r="241" spans="1:22" ht="15" x14ac:dyDescent="0.25">
      <c r="A241" s="25"/>
      <c r="B241" s="25"/>
      <c r="C241" s="25"/>
      <c r="D241" s="25"/>
      <c r="E241" s="25"/>
      <c r="F241" s="25"/>
      <c r="G241" s="25"/>
      <c r="H241" s="25"/>
      <c r="I241" s="52">
        <f>J236+J237+J238+J239</f>
        <v>47288.27</v>
      </c>
      <c r="J241" s="52"/>
      <c r="K241" s="26">
        <f>IF(Source!I180&lt;&gt;0, ROUND(I241/Source!I180, 2), 0)</f>
        <v>422.22</v>
      </c>
      <c r="P241" s="24">
        <f>I241</f>
        <v>47288.27</v>
      </c>
    </row>
    <row r="242" spans="1:22" ht="165" x14ac:dyDescent="0.2">
      <c r="A242" s="19">
        <v>22</v>
      </c>
      <c r="B242" s="19" t="s">
        <v>512</v>
      </c>
      <c r="C242" s="19" t="s">
        <v>513</v>
      </c>
      <c r="D242" s="20" t="str">
        <f>Source!H181</f>
        <v>шт.</v>
      </c>
      <c r="E242" s="9">
        <f>Source!I181</f>
        <v>14</v>
      </c>
      <c r="F242" s="22"/>
      <c r="G242" s="21"/>
      <c r="H242" s="9"/>
      <c r="I242" s="9"/>
      <c r="J242" s="22"/>
      <c r="K242" s="22"/>
      <c r="Q242">
        <f>ROUND((Source!BZ181/100)*ROUND((Source!AF181*Source!AV181)*Source!I181, 2), 2)</f>
        <v>1718.88</v>
      </c>
      <c r="R242">
        <f>Source!X181</f>
        <v>1718.88</v>
      </c>
      <c r="S242">
        <f>ROUND((Source!CA181/100)*ROUND((Source!AF181*Source!AV181)*Source!I181, 2), 2)</f>
        <v>245.55</v>
      </c>
      <c r="T242">
        <f>Source!Y181</f>
        <v>245.55</v>
      </c>
      <c r="U242">
        <f>ROUND((175/100)*ROUND((Source!AE181*Source!AV181)*Source!I181, 2), 2)</f>
        <v>0</v>
      </c>
      <c r="V242">
        <f>ROUND((108/100)*ROUND(Source!CS181*Source!I181, 2), 2)</f>
        <v>0</v>
      </c>
    </row>
    <row r="243" spans="1:22" x14ac:dyDescent="0.2">
      <c r="C243" s="23" t="str">
        <f>"Объем: "&amp;Source!I181&amp;"=(2)*"&amp;"7"</f>
        <v>Объем: 14=(2)*7</v>
      </c>
    </row>
    <row r="244" spans="1:22" ht="14.25" x14ac:dyDescent="0.2">
      <c r="A244" s="19"/>
      <c r="B244" s="19"/>
      <c r="C244" s="19" t="s">
        <v>500</v>
      </c>
      <c r="D244" s="20"/>
      <c r="E244" s="9"/>
      <c r="F244" s="22">
        <f>Source!AO181</f>
        <v>168.65</v>
      </c>
      <c r="G244" s="21" t="str">
        <f>Source!DG181</f>
        <v>)*1,04</v>
      </c>
      <c r="H244" s="9">
        <f>Source!AV181</f>
        <v>1</v>
      </c>
      <c r="I244" s="9">
        <f>IF(Source!BA181&lt;&gt; 0, Source!BA181, 1)</f>
        <v>1</v>
      </c>
      <c r="J244" s="22">
        <f>Source!S181</f>
        <v>2455.54</v>
      </c>
      <c r="K244" s="22"/>
    </row>
    <row r="245" spans="1:22" ht="14.25" x14ac:dyDescent="0.2">
      <c r="A245" s="19"/>
      <c r="B245" s="19"/>
      <c r="C245" s="19" t="s">
        <v>508</v>
      </c>
      <c r="D245" s="20"/>
      <c r="E245" s="9"/>
      <c r="F245" s="22">
        <f>Source!AL181</f>
        <v>0.63</v>
      </c>
      <c r="G245" s="21" t="str">
        <f>Source!DD181</f>
        <v/>
      </c>
      <c r="H245" s="9">
        <f>Source!AW181</f>
        <v>1</v>
      </c>
      <c r="I245" s="9">
        <f>IF(Source!BC181&lt;&gt; 0, Source!BC181, 1)</f>
        <v>1</v>
      </c>
      <c r="J245" s="22">
        <f>Source!P181</f>
        <v>8.82</v>
      </c>
      <c r="K245" s="22"/>
    </row>
    <row r="246" spans="1:22" ht="14.25" x14ac:dyDescent="0.2">
      <c r="A246" s="19"/>
      <c r="B246" s="19"/>
      <c r="C246" s="19" t="s">
        <v>501</v>
      </c>
      <c r="D246" s="20" t="s">
        <v>502</v>
      </c>
      <c r="E246" s="9">
        <f>Source!AT181</f>
        <v>70</v>
      </c>
      <c r="F246" s="22"/>
      <c r="G246" s="21"/>
      <c r="H246" s="9"/>
      <c r="I246" s="9"/>
      <c r="J246" s="22">
        <f>SUM(R242:R245)</f>
        <v>1718.88</v>
      </c>
      <c r="K246" s="22"/>
    </row>
    <row r="247" spans="1:22" ht="14.25" x14ac:dyDescent="0.2">
      <c r="A247" s="19"/>
      <c r="B247" s="19"/>
      <c r="C247" s="19" t="s">
        <v>503</v>
      </c>
      <c r="D247" s="20" t="s">
        <v>502</v>
      </c>
      <c r="E247" s="9">
        <f>Source!AU181</f>
        <v>10</v>
      </c>
      <c r="F247" s="22"/>
      <c r="G247" s="21"/>
      <c r="H247" s="9"/>
      <c r="I247" s="9"/>
      <c r="J247" s="22">
        <f>SUM(T242:T246)</f>
        <v>245.55</v>
      </c>
      <c r="K247" s="22"/>
    </row>
    <row r="248" spans="1:22" ht="14.25" x14ac:dyDescent="0.2">
      <c r="A248" s="19"/>
      <c r="B248" s="19"/>
      <c r="C248" s="19" t="s">
        <v>504</v>
      </c>
      <c r="D248" s="20" t="s">
        <v>505</v>
      </c>
      <c r="E248" s="9">
        <f>Source!AQ181</f>
        <v>0.3</v>
      </c>
      <c r="F248" s="22"/>
      <c r="G248" s="21" t="str">
        <f>Source!DI181</f>
        <v>)*1,04</v>
      </c>
      <c r="H248" s="9">
        <f>Source!AV181</f>
        <v>1</v>
      </c>
      <c r="I248" s="9"/>
      <c r="J248" s="22"/>
      <c r="K248" s="22">
        <f>Source!U181</f>
        <v>4.3680000000000003</v>
      </c>
    </row>
    <row r="249" spans="1:22" ht="15" x14ac:dyDescent="0.25">
      <c r="A249" s="25"/>
      <c r="B249" s="25"/>
      <c r="C249" s="25"/>
      <c r="D249" s="25"/>
      <c r="E249" s="25"/>
      <c r="F249" s="25"/>
      <c r="G249" s="25"/>
      <c r="H249" s="25"/>
      <c r="I249" s="52">
        <f>J244+J245+J246+J247</f>
        <v>4428.79</v>
      </c>
      <c r="J249" s="52"/>
      <c r="K249" s="26">
        <f>IF(Source!I181&lt;&gt;0, ROUND(I249/Source!I181, 2), 0)</f>
        <v>316.33999999999997</v>
      </c>
      <c r="P249" s="24">
        <f>I249</f>
        <v>4428.79</v>
      </c>
    </row>
    <row r="251" spans="1:22" ht="15" customHeight="1" x14ac:dyDescent="0.25">
      <c r="B251" s="55" t="str">
        <f>Source!G182</f>
        <v>Электроустановочные изделия</v>
      </c>
      <c r="C251" s="55"/>
      <c r="D251" s="55"/>
      <c r="E251" s="55"/>
      <c r="F251" s="55"/>
      <c r="G251" s="55"/>
      <c r="H251" s="55"/>
      <c r="I251" s="55"/>
      <c r="J251" s="55"/>
    </row>
    <row r="252" spans="1:22" ht="57" x14ac:dyDescent="0.2">
      <c r="A252" s="19">
        <v>23</v>
      </c>
      <c r="B252" s="19" t="str">
        <f>Source!F183</f>
        <v>1.23-2103-6-1/1</v>
      </c>
      <c r="C252" s="19" t="str">
        <f>Source!G183</f>
        <v>Техническое обслуживание выключателей поплавковых / Выключатель одноклавишный Ном. ток 10 А. Ном. напр.: 250 В.</v>
      </c>
      <c r="D252" s="20" t="str">
        <f>Source!H183</f>
        <v>100 шт.</v>
      </c>
      <c r="E252" s="9">
        <f>Source!I183</f>
        <v>0.68</v>
      </c>
      <c r="F252" s="22"/>
      <c r="G252" s="21"/>
      <c r="H252" s="9"/>
      <c r="I252" s="9"/>
      <c r="J252" s="22"/>
      <c r="K252" s="22"/>
      <c r="Q252">
        <f>ROUND((Source!BZ183/100)*ROUND((Source!AF183*Source!AV183)*Source!I183, 2), 2)</f>
        <v>6115.44</v>
      </c>
      <c r="R252">
        <f>Source!X183</f>
        <v>6115.44</v>
      </c>
      <c r="S252">
        <f>ROUND((Source!CA183/100)*ROUND((Source!AF183*Source!AV183)*Source!I183, 2), 2)</f>
        <v>873.63</v>
      </c>
      <c r="T252">
        <f>Source!Y183</f>
        <v>873.63</v>
      </c>
      <c r="U252">
        <f>ROUND((175/100)*ROUND((Source!AE183*Source!AV183)*Source!I183, 2), 2)</f>
        <v>2752.89</v>
      </c>
      <c r="V252">
        <f>ROUND((108/100)*ROUND(Source!CS183*Source!I183, 2), 2)</f>
        <v>1698.93</v>
      </c>
    </row>
    <row r="253" spans="1:22" x14ac:dyDescent="0.2">
      <c r="C253" s="23" t="str">
        <f>"Объем: "&amp;Source!I183&amp;"=(4*"&amp;"17)/"&amp;"100"</f>
        <v>Объем: 0,68=(4*17)/100</v>
      </c>
    </row>
    <row r="254" spans="1:22" ht="14.25" x14ac:dyDescent="0.2">
      <c r="A254" s="19"/>
      <c r="B254" s="19"/>
      <c r="C254" s="19" t="s">
        <v>500</v>
      </c>
      <c r="D254" s="20"/>
      <c r="E254" s="9"/>
      <c r="F254" s="22">
        <f>Source!AO183</f>
        <v>3211.89</v>
      </c>
      <c r="G254" s="21" t="str">
        <f>Source!DG183</f>
        <v>)*4</v>
      </c>
      <c r="H254" s="9">
        <f>Source!AV183</f>
        <v>1</v>
      </c>
      <c r="I254" s="9">
        <f>IF(Source!BA183&lt;&gt; 0, Source!BA183, 1)</f>
        <v>1</v>
      </c>
      <c r="J254" s="22">
        <f>Source!S183</f>
        <v>8736.34</v>
      </c>
      <c r="K254" s="22"/>
    </row>
    <row r="255" spans="1:22" ht="14.25" x14ac:dyDescent="0.2">
      <c r="A255" s="19"/>
      <c r="B255" s="19"/>
      <c r="C255" s="19" t="s">
        <v>506</v>
      </c>
      <c r="D255" s="20"/>
      <c r="E255" s="9"/>
      <c r="F255" s="22">
        <f>Source!AM183</f>
        <v>912.11</v>
      </c>
      <c r="G255" s="21" t="str">
        <f>Source!DE183</f>
        <v>)*4</v>
      </c>
      <c r="H255" s="9">
        <f>Source!AV183</f>
        <v>1</v>
      </c>
      <c r="I255" s="9">
        <f>IF(Source!BB183&lt;&gt; 0, Source!BB183, 1)</f>
        <v>1</v>
      </c>
      <c r="J255" s="22">
        <f>Source!Q183</f>
        <v>2480.94</v>
      </c>
      <c r="K255" s="22"/>
    </row>
    <row r="256" spans="1:22" ht="14.25" x14ac:dyDescent="0.2">
      <c r="A256" s="19"/>
      <c r="B256" s="19"/>
      <c r="C256" s="19" t="s">
        <v>507</v>
      </c>
      <c r="D256" s="20"/>
      <c r="E256" s="9"/>
      <c r="F256" s="22">
        <f>Source!AN183</f>
        <v>578.34</v>
      </c>
      <c r="G256" s="21" t="str">
        <f>Source!DF183</f>
        <v>)*4</v>
      </c>
      <c r="H256" s="9">
        <f>Source!AV183</f>
        <v>1</v>
      </c>
      <c r="I256" s="9">
        <f>IF(Source!BS183&lt;&gt; 0, Source!BS183, 1)</f>
        <v>1</v>
      </c>
      <c r="J256" s="27">
        <f>Source!R183</f>
        <v>1573.08</v>
      </c>
      <c r="K256" s="22"/>
    </row>
    <row r="257" spans="1:22" ht="14.25" x14ac:dyDescent="0.2">
      <c r="A257" s="19"/>
      <c r="B257" s="19"/>
      <c r="C257" s="19" t="s">
        <v>508</v>
      </c>
      <c r="D257" s="20"/>
      <c r="E257" s="9"/>
      <c r="F257" s="22">
        <f>Source!AL183</f>
        <v>0.94</v>
      </c>
      <c r="G257" s="21" t="str">
        <f>Source!DD183</f>
        <v>)*4</v>
      </c>
      <c r="H257" s="9">
        <f>Source!AW183</f>
        <v>1</v>
      </c>
      <c r="I257" s="9">
        <f>IF(Source!BC183&lt;&gt; 0, Source!BC183, 1)</f>
        <v>1</v>
      </c>
      <c r="J257" s="22">
        <f>Source!P183</f>
        <v>2.56</v>
      </c>
      <c r="K257" s="22"/>
    </row>
    <row r="258" spans="1:22" ht="14.25" x14ac:dyDescent="0.2">
      <c r="A258" s="19"/>
      <c r="B258" s="19"/>
      <c r="C258" s="19" t="s">
        <v>501</v>
      </c>
      <c r="D258" s="20" t="s">
        <v>502</v>
      </c>
      <c r="E258" s="9">
        <f>Source!AT183</f>
        <v>70</v>
      </c>
      <c r="F258" s="22"/>
      <c r="G258" s="21"/>
      <c r="H258" s="9"/>
      <c r="I258" s="9"/>
      <c r="J258" s="22">
        <f>SUM(R252:R257)</f>
        <v>6115.44</v>
      </c>
      <c r="K258" s="22"/>
    </row>
    <row r="259" spans="1:22" ht="14.25" x14ac:dyDescent="0.2">
      <c r="A259" s="19"/>
      <c r="B259" s="19"/>
      <c r="C259" s="19" t="s">
        <v>503</v>
      </c>
      <c r="D259" s="20" t="s">
        <v>502</v>
      </c>
      <c r="E259" s="9">
        <f>Source!AU183</f>
        <v>10</v>
      </c>
      <c r="F259" s="22"/>
      <c r="G259" s="21"/>
      <c r="H259" s="9"/>
      <c r="I259" s="9"/>
      <c r="J259" s="22">
        <f>SUM(T252:T258)</f>
        <v>873.63</v>
      </c>
      <c r="K259" s="22"/>
    </row>
    <row r="260" spans="1:22" ht="14.25" x14ac:dyDescent="0.2">
      <c r="A260" s="19"/>
      <c r="B260" s="19"/>
      <c r="C260" s="19" t="s">
        <v>509</v>
      </c>
      <c r="D260" s="20" t="s">
        <v>502</v>
      </c>
      <c r="E260" s="9">
        <f>108</f>
        <v>108</v>
      </c>
      <c r="F260" s="22"/>
      <c r="G260" s="21"/>
      <c r="H260" s="9"/>
      <c r="I260" s="9"/>
      <c r="J260" s="22">
        <f>SUM(V252:V259)</f>
        <v>1698.93</v>
      </c>
      <c r="K260" s="22"/>
    </row>
    <row r="261" spans="1:22" ht="14.25" x14ac:dyDescent="0.2">
      <c r="A261" s="19"/>
      <c r="B261" s="19"/>
      <c r="C261" s="19" t="s">
        <v>504</v>
      </c>
      <c r="D261" s="20" t="s">
        <v>505</v>
      </c>
      <c r="E261" s="9">
        <f>Source!AQ183</f>
        <v>6</v>
      </c>
      <c r="F261" s="22"/>
      <c r="G261" s="21" t="str">
        <f>Source!DI183</f>
        <v>)*4</v>
      </c>
      <c r="H261" s="9">
        <f>Source!AV183</f>
        <v>1</v>
      </c>
      <c r="I261" s="9"/>
      <c r="J261" s="22"/>
      <c r="K261" s="22">
        <f>Source!U183</f>
        <v>16.32</v>
      </c>
    </row>
    <row r="262" spans="1:22" ht="15" x14ac:dyDescent="0.25">
      <c r="A262" s="25"/>
      <c r="B262" s="25"/>
      <c r="C262" s="25"/>
      <c r="D262" s="25"/>
      <c r="E262" s="25"/>
      <c r="F262" s="25"/>
      <c r="G262" s="25"/>
      <c r="H262" s="25"/>
      <c r="I262" s="52">
        <f>J254+J255+J257+J258+J259+J260</f>
        <v>19907.84</v>
      </c>
      <c r="J262" s="52"/>
      <c r="K262" s="26">
        <f>IF(Source!I183&lt;&gt;0, ROUND(I262/Source!I183, 2), 0)</f>
        <v>29276.240000000002</v>
      </c>
      <c r="P262" s="24">
        <f>I262</f>
        <v>19907.84</v>
      </c>
    </row>
    <row r="263" spans="1:22" ht="71.25" x14ac:dyDescent="0.2">
      <c r="A263" s="19">
        <v>24</v>
      </c>
      <c r="B263" s="19" t="str">
        <f>Source!F185</f>
        <v>1.21-2303-37-1/1</v>
      </c>
      <c r="C263" s="19" t="str">
        <f>Source!G185</f>
        <v>Техническое обслуживание накладной штепсельной силовой розетки с винтовыми зажимами, заземляющим контактом, степень защиты IP20, IP21, IP22 - полугодовое</v>
      </c>
      <c r="D263" s="20" t="str">
        <f>Source!H185</f>
        <v>10 шт.</v>
      </c>
      <c r="E263" s="9">
        <f>Source!I185</f>
        <v>5.6</v>
      </c>
      <c r="F263" s="22"/>
      <c r="G263" s="21"/>
      <c r="H263" s="9"/>
      <c r="I263" s="9"/>
      <c r="J263" s="22"/>
      <c r="K263" s="22"/>
      <c r="Q263">
        <f>ROUND((Source!BZ185/100)*ROUND((Source!AF185*Source!AV185)*Source!I185, 2), 2)</f>
        <v>435.71</v>
      </c>
      <c r="R263">
        <f>Source!X185</f>
        <v>435.71</v>
      </c>
      <c r="S263">
        <f>ROUND((Source!CA185/100)*ROUND((Source!AF185*Source!AV185)*Source!I185, 2), 2)</f>
        <v>62.24</v>
      </c>
      <c r="T263">
        <f>Source!Y185</f>
        <v>62.24</v>
      </c>
      <c r="U263">
        <f>ROUND((175/100)*ROUND((Source!AE185*Source!AV185)*Source!I185, 2), 2)</f>
        <v>0</v>
      </c>
      <c r="V263">
        <f>ROUND((108/100)*ROUND(Source!CS185*Source!I185, 2), 2)</f>
        <v>0</v>
      </c>
    </row>
    <row r="264" spans="1:22" x14ac:dyDescent="0.2">
      <c r="C264" s="23" t="str">
        <f>"Объем: "&amp;Source!I185&amp;"=(8*"&amp;"7)/"&amp;"10"</f>
        <v>Объем: 5,6=(8*7)/10</v>
      </c>
    </row>
    <row r="265" spans="1:22" ht="14.25" x14ac:dyDescent="0.2">
      <c r="A265" s="19"/>
      <c r="B265" s="19"/>
      <c r="C265" s="19" t="s">
        <v>500</v>
      </c>
      <c r="D265" s="20"/>
      <c r="E265" s="9"/>
      <c r="F265" s="22">
        <f>Source!AO185</f>
        <v>111.15</v>
      </c>
      <c r="G265" s="21" t="str">
        <f>Source!DG185</f>
        <v/>
      </c>
      <c r="H265" s="9">
        <f>Source!AV185</f>
        <v>1</v>
      </c>
      <c r="I265" s="9">
        <f>IF(Source!BA185&lt;&gt; 0, Source!BA185, 1)</f>
        <v>1</v>
      </c>
      <c r="J265" s="22">
        <f>Source!S185</f>
        <v>622.44000000000005</v>
      </c>
      <c r="K265" s="22"/>
    </row>
    <row r="266" spans="1:22" ht="14.25" x14ac:dyDescent="0.2">
      <c r="A266" s="19"/>
      <c r="B266" s="19"/>
      <c r="C266" s="19" t="s">
        <v>508</v>
      </c>
      <c r="D266" s="20"/>
      <c r="E266" s="9"/>
      <c r="F266" s="22">
        <f>Source!AL185</f>
        <v>6.3</v>
      </c>
      <c r="G266" s="21" t="str">
        <f>Source!DD185</f>
        <v/>
      </c>
      <c r="H266" s="9">
        <f>Source!AW185</f>
        <v>1</v>
      </c>
      <c r="I266" s="9">
        <f>IF(Source!BC185&lt;&gt; 0, Source!BC185, 1)</f>
        <v>1</v>
      </c>
      <c r="J266" s="22">
        <f>Source!P185</f>
        <v>35.28</v>
      </c>
      <c r="K266" s="22"/>
    </row>
    <row r="267" spans="1:22" ht="14.25" x14ac:dyDescent="0.2">
      <c r="A267" s="19"/>
      <c r="B267" s="19"/>
      <c r="C267" s="19" t="s">
        <v>501</v>
      </c>
      <c r="D267" s="20" t="s">
        <v>502</v>
      </c>
      <c r="E267" s="9">
        <f>Source!AT185</f>
        <v>70</v>
      </c>
      <c r="F267" s="22"/>
      <c r="G267" s="21"/>
      <c r="H267" s="9"/>
      <c r="I267" s="9"/>
      <c r="J267" s="22">
        <f>SUM(R263:R266)</f>
        <v>435.71</v>
      </c>
      <c r="K267" s="22"/>
    </row>
    <row r="268" spans="1:22" ht="14.25" x14ac:dyDescent="0.2">
      <c r="A268" s="19"/>
      <c r="B268" s="19"/>
      <c r="C268" s="19" t="s">
        <v>503</v>
      </c>
      <c r="D268" s="20" t="s">
        <v>502</v>
      </c>
      <c r="E268" s="9">
        <f>Source!AU185</f>
        <v>10</v>
      </c>
      <c r="F268" s="22"/>
      <c r="G268" s="21"/>
      <c r="H268" s="9"/>
      <c r="I268" s="9"/>
      <c r="J268" s="22">
        <f>SUM(T263:T267)</f>
        <v>62.24</v>
      </c>
      <c r="K268" s="22"/>
    </row>
    <row r="269" spans="1:22" ht="14.25" x14ac:dyDescent="0.2">
      <c r="A269" s="19"/>
      <c r="B269" s="19"/>
      <c r="C269" s="19" t="s">
        <v>504</v>
      </c>
      <c r="D269" s="20" t="s">
        <v>505</v>
      </c>
      <c r="E269" s="9">
        <f>Source!AQ185</f>
        <v>0.18</v>
      </c>
      <c r="F269" s="22"/>
      <c r="G269" s="21" t="str">
        <f>Source!DI185</f>
        <v/>
      </c>
      <c r="H269" s="9">
        <f>Source!AV185</f>
        <v>1</v>
      </c>
      <c r="I269" s="9"/>
      <c r="J269" s="22"/>
      <c r="K269" s="22">
        <f>Source!U185</f>
        <v>1.008</v>
      </c>
    </row>
    <row r="270" spans="1:22" ht="15" x14ac:dyDescent="0.25">
      <c r="A270" s="25"/>
      <c r="B270" s="25"/>
      <c r="C270" s="25"/>
      <c r="D270" s="25"/>
      <c r="E270" s="25"/>
      <c r="F270" s="25"/>
      <c r="G270" s="25"/>
      <c r="H270" s="25"/>
      <c r="I270" s="52">
        <f>J265+J266+J267+J268</f>
        <v>1155.67</v>
      </c>
      <c r="J270" s="52"/>
      <c r="K270" s="26">
        <f>IF(Source!I185&lt;&gt;0, ROUND(I270/Source!I185, 2), 0)</f>
        <v>206.37</v>
      </c>
      <c r="P270" s="24">
        <f>I270</f>
        <v>1155.67</v>
      </c>
    </row>
    <row r="272" spans="1:22" ht="15" customHeight="1" x14ac:dyDescent="0.25">
      <c r="B272" s="55" t="str">
        <f>Source!G189</f>
        <v>Кабели и провода</v>
      </c>
      <c r="C272" s="55"/>
      <c r="D272" s="55"/>
      <c r="E272" s="55"/>
      <c r="F272" s="55"/>
      <c r="G272" s="55"/>
      <c r="H272" s="55"/>
      <c r="I272" s="55"/>
      <c r="J272" s="55"/>
    </row>
    <row r="273" spans="1:22" ht="57" x14ac:dyDescent="0.2">
      <c r="A273" s="19">
        <v>25</v>
      </c>
      <c r="B273" s="19" t="str">
        <f>Source!F190</f>
        <v>1.21-2103-9-2/1</v>
      </c>
      <c r="C273" s="19" t="str">
        <f>Source!G190</f>
        <v>Техническое обслуживание силовых сетей, проложенных по кирпичным и бетонным основаниям, провод сечением 3х1,5-6 мм2 / прим. 3х2,5</v>
      </c>
      <c r="D273" s="20" t="str">
        <f>Source!H190</f>
        <v>100 м</v>
      </c>
      <c r="E273" s="9">
        <f>Source!I190</f>
        <v>0.22539999999999999</v>
      </c>
      <c r="F273" s="22"/>
      <c r="G273" s="21"/>
      <c r="H273" s="9"/>
      <c r="I273" s="9"/>
      <c r="J273" s="22"/>
      <c r="K273" s="22"/>
      <c r="Q273">
        <f>ROUND((Source!BZ190/100)*ROUND((Source!AF190*Source!AV190)*Source!I190, 2), 2)</f>
        <v>844.62</v>
      </c>
      <c r="R273">
        <f>Source!X190</f>
        <v>844.62</v>
      </c>
      <c r="S273">
        <f>ROUND((Source!CA190/100)*ROUND((Source!AF190*Source!AV190)*Source!I190, 2), 2)</f>
        <v>120.66</v>
      </c>
      <c r="T273">
        <f>Source!Y190</f>
        <v>120.66</v>
      </c>
      <c r="U273">
        <f>ROUND((175/100)*ROUND((Source!AE190*Source!AV190)*Source!I190, 2), 2)</f>
        <v>0</v>
      </c>
      <c r="V273">
        <f>ROUND((108/100)*ROUND(Source!CS190*Source!I190, 2), 2)</f>
        <v>0</v>
      </c>
    </row>
    <row r="274" spans="1:22" x14ac:dyDescent="0.2">
      <c r="C274" s="23" t="str">
        <f>"Объем: "&amp;Source!I190&amp;"=161*"&amp;"7*"&amp;"0,2*"&amp;"0,1/"&amp;"100"</f>
        <v>Объем: 0,2254=161*7*0,2*0,1/100</v>
      </c>
    </row>
    <row r="275" spans="1:22" ht="14.25" x14ac:dyDescent="0.2">
      <c r="A275" s="19"/>
      <c r="B275" s="19"/>
      <c r="C275" s="19" t="s">
        <v>500</v>
      </c>
      <c r="D275" s="20"/>
      <c r="E275" s="9"/>
      <c r="F275" s="22">
        <f>Source!AO190</f>
        <v>5353.15</v>
      </c>
      <c r="G275" s="21" t="str">
        <f>Source!DG190</f>
        <v/>
      </c>
      <c r="H275" s="9">
        <f>Source!AV190</f>
        <v>1</v>
      </c>
      <c r="I275" s="9">
        <f>IF(Source!BA190&lt;&gt; 0, Source!BA190, 1)</f>
        <v>1</v>
      </c>
      <c r="J275" s="22">
        <f>Source!S190</f>
        <v>1206.5999999999999</v>
      </c>
      <c r="K275" s="22"/>
    </row>
    <row r="276" spans="1:22" ht="14.25" x14ac:dyDescent="0.2">
      <c r="A276" s="19"/>
      <c r="B276" s="19"/>
      <c r="C276" s="19" t="s">
        <v>508</v>
      </c>
      <c r="D276" s="20"/>
      <c r="E276" s="9"/>
      <c r="F276" s="22">
        <f>Source!AL190</f>
        <v>22.51</v>
      </c>
      <c r="G276" s="21" t="str">
        <f>Source!DD190</f>
        <v/>
      </c>
      <c r="H276" s="9">
        <f>Source!AW190</f>
        <v>1</v>
      </c>
      <c r="I276" s="9">
        <f>IF(Source!BC190&lt;&gt; 0, Source!BC190, 1)</f>
        <v>1</v>
      </c>
      <c r="J276" s="22">
        <f>Source!P190</f>
        <v>5.07</v>
      </c>
      <c r="K276" s="22"/>
    </row>
    <row r="277" spans="1:22" ht="14.25" x14ac:dyDescent="0.2">
      <c r="A277" s="19"/>
      <c r="B277" s="19"/>
      <c r="C277" s="19" t="s">
        <v>501</v>
      </c>
      <c r="D277" s="20" t="s">
        <v>502</v>
      </c>
      <c r="E277" s="9">
        <f>Source!AT190</f>
        <v>70</v>
      </c>
      <c r="F277" s="22"/>
      <c r="G277" s="21"/>
      <c r="H277" s="9"/>
      <c r="I277" s="9"/>
      <c r="J277" s="22">
        <f>SUM(R273:R276)</f>
        <v>844.62</v>
      </c>
      <c r="K277" s="22"/>
    </row>
    <row r="278" spans="1:22" ht="14.25" x14ac:dyDescent="0.2">
      <c r="A278" s="19"/>
      <c r="B278" s="19"/>
      <c r="C278" s="19" t="s">
        <v>503</v>
      </c>
      <c r="D278" s="20" t="s">
        <v>502</v>
      </c>
      <c r="E278" s="9">
        <f>Source!AU190</f>
        <v>10</v>
      </c>
      <c r="F278" s="22"/>
      <c r="G278" s="21"/>
      <c r="H278" s="9"/>
      <c r="I278" s="9"/>
      <c r="J278" s="22">
        <f>SUM(T273:T277)</f>
        <v>120.66</v>
      </c>
      <c r="K278" s="22"/>
    </row>
    <row r="279" spans="1:22" ht="14.25" x14ac:dyDescent="0.2">
      <c r="A279" s="19"/>
      <c r="B279" s="19"/>
      <c r="C279" s="19" t="s">
        <v>504</v>
      </c>
      <c r="D279" s="20" t="s">
        <v>505</v>
      </c>
      <c r="E279" s="9">
        <f>Source!AQ190</f>
        <v>10</v>
      </c>
      <c r="F279" s="22"/>
      <c r="G279" s="21" t="str">
        <f>Source!DI190</f>
        <v/>
      </c>
      <c r="H279" s="9">
        <f>Source!AV190</f>
        <v>1</v>
      </c>
      <c r="I279" s="9"/>
      <c r="J279" s="22"/>
      <c r="K279" s="22">
        <f>Source!U190</f>
        <v>2.254</v>
      </c>
    </row>
    <row r="280" spans="1:22" ht="15" x14ac:dyDescent="0.25">
      <c r="A280" s="25"/>
      <c r="B280" s="25"/>
      <c r="C280" s="25"/>
      <c r="D280" s="25"/>
      <c r="E280" s="25"/>
      <c r="F280" s="25"/>
      <c r="G280" s="25"/>
      <c r="H280" s="25"/>
      <c r="I280" s="52">
        <f>J275+J276+J277+J278</f>
        <v>2176.9499999999998</v>
      </c>
      <c r="J280" s="52"/>
      <c r="K280" s="26">
        <f>IF(Source!I190&lt;&gt;0, ROUND(I280/Source!I190, 2), 0)</f>
        <v>9658.16</v>
      </c>
      <c r="P280" s="24">
        <f>I280</f>
        <v>2176.9499999999998</v>
      </c>
    </row>
    <row r="281" spans="1:22" ht="57" x14ac:dyDescent="0.2">
      <c r="A281" s="19">
        <v>26</v>
      </c>
      <c r="B281" s="19" t="str">
        <f>Source!F192</f>
        <v>1.21-2103-9-2/1</v>
      </c>
      <c r="C281" s="19" t="str">
        <f>Source!G192</f>
        <v>Техническое обслуживание силовых сетей, проложенных по кирпичным и бетонным основаниям, провод сечением 3х1,5-6 мм2</v>
      </c>
      <c r="D281" s="20" t="str">
        <f>Source!H192</f>
        <v>100 м</v>
      </c>
      <c r="E281" s="9">
        <f>Source!I192</f>
        <v>0.16239999999999999</v>
      </c>
      <c r="F281" s="22"/>
      <c r="G281" s="21"/>
      <c r="H281" s="9"/>
      <c r="I281" s="9"/>
      <c r="J281" s="22"/>
      <c r="K281" s="22"/>
      <c r="Q281">
        <f>ROUND((Source!BZ192/100)*ROUND((Source!AF192*Source!AV192)*Source!I192, 2), 2)</f>
        <v>608.54999999999995</v>
      </c>
      <c r="R281">
        <f>Source!X192</f>
        <v>608.54999999999995</v>
      </c>
      <c r="S281">
        <f>ROUND((Source!CA192/100)*ROUND((Source!AF192*Source!AV192)*Source!I192, 2), 2)</f>
        <v>86.94</v>
      </c>
      <c r="T281">
        <f>Source!Y192</f>
        <v>86.94</v>
      </c>
      <c r="U281">
        <f>ROUND((175/100)*ROUND((Source!AE192*Source!AV192)*Source!I192, 2), 2)</f>
        <v>0</v>
      </c>
      <c r="V281">
        <f>ROUND((108/100)*ROUND(Source!CS192*Source!I192, 2), 2)</f>
        <v>0</v>
      </c>
    </row>
    <row r="282" spans="1:22" x14ac:dyDescent="0.2">
      <c r="C282" s="23" t="str">
        <f>"Объем: "&amp;Source!I192&amp;"=116*"&amp;"7*"&amp;"0,2*"&amp;"0,1/"&amp;"100"</f>
        <v>Объем: 0,1624=116*7*0,2*0,1/100</v>
      </c>
    </row>
    <row r="283" spans="1:22" ht="14.25" x14ac:dyDescent="0.2">
      <c r="A283" s="19"/>
      <c r="B283" s="19"/>
      <c r="C283" s="19" t="s">
        <v>500</v>
      </c>
      <c r="D283" s="20"/>
      <c r="E283" s="9"/>
      <c r="F283" s="22">
        <f>Source!AO192</f>
        <v>5353.15</v>
      </c>
      <c r="G283" s="21" t="str">
        <f>Source!DG192</f>
        <v/>
      </c>
      <c r="H283" s="9">
        <f>Source!AV192</f>
        <v>1</v>
      </c>
      <c r="I283" s="9">
        <f>IF(Source!BA192&lt;&gt; 0, Source!BA192, 1)</f>
        <v>1</v>
      </c>
      <c r="J283" s="22">
        <f>Source!S192</f>
        <v>869.35</v>
      </c>
      <c r="K283" s="22"/>
    </row>
    <row r="284" spans="1:22" ht="14.25" x14ac:dyDescent="0.2">
      <c r="A284" s="19"/>
      <c r="B284" s="19"/>
      <c r="C284" s="19" t="s">
        <v>508</v>
      </c>
      <c r="D284" s="20"/>
      <c r="E284" s="9"/>
      <c r="F284" s="22">
        <f>Source!AL192</f>
        <v>22.51</v>
      </c>
      <c r="G284" s="21" t="str">
        <f>Source!DD192</f>
        <v/>
      </c>
      <c r="H284" s="9">
        <f>Source!AW192</f>
        <v>1</v>
      </c>
      <c r="I284" s="9">
        <f>IF(Source!BC192&lt;&gt; 0, Source!BC192, 1)</f>
        <v>1</v>
      </c>
      <c r="J284" s="22">
        <f>Source!P192</f>
        <v>3.66</v>
      </c>
      <c r="K284" s="22"/>
    </row>
    <row r="285" spans="1:22" ht="14.25" x14ac:dyDescent="0.2">
      <c r="A285" s="19"/>
      <c r="B285" s="19"/>
      <c r="C285" s="19" t="s">
        <v>501</v>
      </c>
      <c r="D285" s="20" t="s">
        <v>502</v>
      </c>
      <c r="E285" s="9">
        <f>Source!AT192</f>
        <v>70</v>
      </c>
      <c r="F285" s="22"/>
      <c r="G285" s="21"/>
      <c r="H285" s="9"/>
      <c r="I285" s="9"/>
      <c r="J285" s="22">
        <f>SUM(R281:R284)</f>
        <v>608.54999999999995</v>
      </c>
      <c r="K285" s="22"/>
    </row>
    <row r="286" spans="1:22" ht="14.25" x14ac:dyDescent="0.2">
      <c r="A286" s="19"/>
      <c r="B286" s="19"/>
      <c r="C286" s="19" t="s">
        <v>503</v>
      </c>
      <c r="D286" s="20" t="s">
        <v>502</v>
      </c>
      <c r="E286" s="9">
        <f>Source!AU192</f>
        <v>10</v>
      </c>
      <c r="F286" s="22"/>
      <c r="G286" s="21"/>
      <c r="H286" s="9"/>
      <c r="I286" s="9"/>
      <c r="J286" s="22">
        <f>SUM(T281:T285)</f>
        <v>86.94</v>
      </c>
      <c r="K286" s="22"/>
    </row>
    <row r="287" spans="1:22" ht="14.25" x14ac:dyDescent="0.2">
      <c r="A287" s="19"/>
      <c r="B287" s="19"/>
      <c r="C287" s="19" t="s">
        <v>504</v>
      </c>
      <c r="D287" s="20" t="s">
        <v>505</v>
      </c>
      <c r="E287" s="9">
        <f>Source!AQ192</f>
        <v>10</v>
      </c>
      <c r="F287" s="22"/>
      <c r="G287" s="21" t="str">
        <f>Source!DI192</f>
        <v/>
      </c>
      <c r="H287" s="9">
        <f>Source!AV192</f>
        <v>1</v>
      </c>
      <c r="I287" s="9"/>
      <c r="J287" s="22"/>
      <c r="K287" s="22">
        <f>Source!U192</f>
        <v>1.6239999999999999</v>
      </c>
    </row>
    <row r="288" spans="1:22" ht="15" x14ac:dyDescent="0.25">
      <c r="A288" s="25"/>
      <c r="B288" s="25"/>
      <c r="C288" s="25"/>
      <c r="D288" s="25"/>
      <c r="E288" s="25"/>
      <c r="F288" s="25"/>
      <c r="G288" s="25"/>
      <c r="H288" s="25"/>
      <c r="I288" s="52">
        <f>J283+J284+J285+J286</f>
        <v>1568.5</v>
      </c>
      <c r="J288" s="52"/>
      <c r="K288" s="26">
        <f>IF(Source!I192&lt;&gt;0, ROUND(I288/Source!I192, 2), 0)</f>
        <v>9658.25</v>
      </c>
      <c r="P288" s="24">
        <f>I288</f>
        <v>1568.5</v>
      </c>
    </row>
    <row r="290" spans="1:22" ht="15" customHeight="1" x14ac:dyDescent="0.25">
      <c r="B290" s="55" t="str">
        <f>Source!G196</f>
        <v>Прочее электрооборудование</v>
      </c>
      <c r="C290" s="55"/>
      <c r="D290" s="55"/>
      <c r="E290" s="55"/>
      <c r="F290" s="55"/>
      <c r="G290" s="55"/>
      <c r="H290" s="55"/>
      <c r="I290" s="55"/>
      <c r="J290" s="55"/>
    </row>
    <row r="291" spans="1:22" ht="42.75" x14ac:dyDescent="0.2">
      <c r="A291" s="19">
        <v>27</v>
      </c>
      <c r="B291" s="19" t="str">
        <f>Source!F197</f>
        <v>1.21-3301-35-1/1</v>
      </c>
      <c r="C291" s="19" t="str">
        <f>Source!G197</f>
        <v>Ремонт электрополотенца (сушителя для рук) с заменой датчика включения (без стоимости датчика)</v>
      </c>
      <c r="D291" s="20" t="str">
        <f>Source!H197</f>
        <v>шт.</v>
      </c>
      <c r="E291" s="9">
        <f>Source!I197</f>
        <v>14</v>
      </c>
      <c r="F291" s="22"/>
      <c r="G291" s="21"/>
      <c r="H291" s="9"/>
      <c r="I291" s="9"/>
      <c r="J291" s="22"/>
      <c r="K291" s="22"/>
      <c r="Q291">
        <f>ROUND((Source!BZ197/100)*ROUND((Source!AF197*Source!AV197)*Source!I197, 2), 2)</f>
        <v>1688.83</v>
      </c>
      <c r="R291">
        <f>Source!X197</f>
        <v>1688.83</v>
      </c>
      <c r="S291">
        <f>ROUND((Source!CA197/100)*ROUND((Source!AF197*Source!AV197)*Source!I197, 2), 2)</f>
        <v>241.26</v>
      </c>
      <c r="T291">
        <f>Source!Y197</f>
        <v>241.26</v>
      </c>
      <c r="U291">
        <f>ROUND((175/100)*ROUND((Source!AE197*Source!AV197)*Source!I197, 2), 2)</f>
        <v>0</v>
      </c>
      <c r="V291">
        <f>ROUND((108/100)*ROUND(Source!CS197*Source!I197, 2), 2)</f>
        <v>0</v>
      </c>
    </row>
    <row r="292" spans="1:22" x14ac:dyDescent="0.2">
      <c r="C292" s="23" t="str">
        <f>"Объем: "&amp;Source!I197&amp;"=2*"&amp;"7"</f>
        <v>Объем: 14=2*7</v>
      </c>
    </row>
    <row r="293" spans="1:22" ht="14.25" x14ac:dyDescent="0.2">
      <c r="A293" s="19"/>
      <c r="B293" s="19"/>
      <c r="C293" s="19" t="s">
        <v>500</v>
      </c>
      <c r="D293" s="20"/>
      <c r="E293" s="9"/>
      <c r="F293" s="22">
        <f>Source!AO197</f>
        <v>172.33</v>
      </c>
      <c r="G293" s="21" t="str">
        <f>Source!DG197</f>
        <v/>
      </c>
      <c r="H293" s="9">
        <f>Source!AV197</f>
        <v>1</v>
      </c>
      <c r="I293" s="9">
        <f>IF(Source!BA197&lt;&gt; 0, Source!BA197, 1)</f>
        <v>1</v>
      </c>
      <c r="J293" s="22">
        <f>Source!S197</f>
        <v>2412.62</v>
      </c>
      <c r="K293" s="22"/>
    </row>
    <row r="294" spans="1:22" ht="14.25" x14ac:dyDescent="0.2">
      <c r="A294" s="19"/>
      <c r="B294" s="19"/>
      <c r="C294" s="19" t="s">
        <v>508</v>
      </c>
      <c r="D294" s="20"/>
      <c r="E294" s="9"/>
      <c r="F294" s="22">
        <f>Source!AL197</f>
        <v>8.26</v>
      </c>
      <c r="G294" s="21" t="str">
        <f>Source!DD197</f>
        <v/>
      </c>
      <c r="H294" s="9">
        <f>Source!AW197</f>
        <v>1</v>
      </c>
      <c r="I294" s="9">
        <f>IF(Source!BC197&lt;&gt; 0, Source!BC197, 1)</f>
        <v>1</v>
      </c>
      <c r="J294" s="22">
        <f>Source!P197</f>
        <v>115.64</v>
      </c>
      <c r="K294" s="22"/>
    </row>
    <row r="295" spans="1:22" ht="14.25" x14ac:dyDescent="0.2">
      <c r="A295" s="19"/>
      <c r="B295" s="19"/>
      <c r="C295" s="19" t="s">
        <v>501</v>
      </c>
      <c r="D295" s="20" t="s">
        <v>502</v>
      </c>
      <c r="E295" s="9">
        <f>Source!AT197</f>
        <v>70</v>
      </c>
      <c r="F295" s="22"/>
      <c r="G295" s="21"/>
      <c r="H295" s="9"/>
      <c r="I295" s="9"/>
      <c r="J295" s="22">
        <f>SUM(R291:R294)</f>
        <v>1688.83</v>
      </c>
      <c r="K295" s="22"/>
    </row>
    <row r="296" spans="1:22" ht="14.25" x14ac:dyDescent="0.2">
      <c r="A296" s="19"/>
      <c r="B296" s="19"/>
      <c r="C296" s="19" t="s">
        <v>503</v>
      </c>
      <c r="D296" s="20" t="s">
        <v>502</v>
      </c>
      <c r="E296" s="9">
        <f>Source!AU197</f>
        <v>10</v>
      </c>
      <c r="F296" s="22"/>
      <c r="G296" s="21"/>
      <c r="H296" s="9"/>
      <c r="I296" s="9"/>
      <c r="J296" s="22">
        <f>SUM(T291:T295)</f>
        <v>241.26</v>
      </c>
      <c r="K296" s="22"/>
    </row>
    <row r="297" spans="1:22" ht="14.25" x14ac:dyDescent="0.2">
      <c r="A297" s="19"/>
      <c r="B297" s="19"/>
      <c r="C297" s="19" t="s">
        <v>504</v>
      </c>
      <c r="D297" s="20" t="s">
        <v>505</v>
      </c>
      <c r="E297" s="9">
        <f>Source!AQ197</f>
        <v>0.34</v>
      </c>
      <c r="F297" s="22"/>
      <c r="G297" s="21" t="str">
        <f>Source!DI197</f>
        <v/>
      </c>
      <c r="H297" s="9">
        <f>Source!AV197</f>
        <v>1</v>
      </c>
      <c r="I297" s="9"/>
      <c r="J297" s="22"/>
      <c r="K297" s="22">
        <f>Source!U197</f>
        <v>4.7600000000000007</v>
      </c>
    </row>
    <row r="298" spans="1:22" ht="15" x14ac:dyDescent="0.25">
      <c r="A298" s="25"/>
      <c r="B298" s="25"/>
      <c r="C298" s="25"/>
      <c r="D298" s="25"/>
      <c r="E298" s="25"/>
      <c r="F298" s="25"/>
      <c r="G298" s="25"/>
      <c r="H298" s="25"/>
      <c r="I298" s="52">
        <f>J293+J294+J295+J296</f>
        <v>4458.3500000000004</v>
      </c>
      <c r="J298" s="52"/>
      <c r="K298" s="26">
        <f>IF(Source!I197&lt;&gt;0, ROUND(I298/Source!I197, 2), 0)</f>
        <v>318.45</v>
      </c>
      <c r="P298" s="24">
        <f>I298</f>
        <v>4458.3500000000004</v>
      </c>
    </row>
    <row r="299" spans="1:22" ht="71.25" x14ac:dyDescent="0.2">
      <c r="A299" s="19">
        <v>28</v>
      </c>
      <c r="B299" s="19" t="str">
        <f>Source!F198</f>
        <v>1.21-2103-9-2/1</v>
      </c>
      <c r="C299" s="19" t="str">
        <f>Source!G198</f>
        <v>Техническое обслуживание силовых сетей, проложенных по кирпичным и бетонным основаниям, провод сечением 3х1,5-6 мм2 / кабель греющий</v>
      </c>
      <c r="D299" s="20" t="str">
        <f>Source!H198</f>
        <v>100 м</v>
      </c>
      <c r="E299" s="9">
        <f>Source!I198</f>
        <v>1.4E-2</v>
      </c>
      <c r="F299" s="22"/>
      <c r="G299" s="21"/>
      <c r="H299" s="9"/>
      <c r="I299" s="9"/>
      <c r="J299" s="22"/>
      <c r="K299" s="22"/>
      <c r="Q299">
        <f>ROUND((Source!BZ198/100)*ROUND((Source!AF198*Source!AV198)*Source!I198, 2), 2)</f>
        <v>52.46</v>
      </c>
      <c r="R299">
        <f>Source!X198</f>
        <v>52.46</v>
      </c>
      <c r="S299">
        <f>ROUND((Source!CA198/100)*ROUND((Source!AF198*Source!AV198)*Source!I198, 2), 2)</f>
        <v>7.49</v>
      </c>
      <c r="T299">
        <f>Source!Y198</f>
        <v>7.49</v>
      </c>
      <c r="U299">
        <f>ROUND((175/100)*ROUND((Source!AE198*Source!AV198)*Source!I198, 2), 2)</f>
        <v>0</v>
      </c>
      <c r="V299">
        <f>ROUND((108/100)*ROUND(Source!CS198*Source!I198, 2), 2)</f>
        <v>0</v>
      </c>
    </row>
    <row r="300" spans="1:22" x14ac:dyDescent="0.2">
      <c r="C300" s="23" t="str">
        <f>"Объем: "&amp;Source!I198&amp;"=10*"&amp;"7*"&amp;"0,2*"&amp;"0,1/"&amp;"100"</f>
        <v>Объем: 0,014=10*7*0,2*0,1/100</v>
      </c>
    </row>
    <row r="301" spans="1:22" ht="14.25" x14ac:dyDescent="0.2">
      <c r="A301" s="19"/>
      <c r="B301" s="19"/>
      <c r="C301" s="19" t="s">
        <v>500</v>
      </c>
      <c r="D301" s="20"/>
      <c r="E301" s="9"/>
      <c r="F301" s="22">
        <f>Source!AO198</f>
        <v>5353.15</v>
      </c>
      <c r="G301" s="21" t="str">
        <f>Source!DG198</f>
        <v/>
      </c>
      <c r="H301" s="9">
        <f>Source!AV198</f>
        <v>1</v>
      </c>
      <c r="I301" s="9">
        <f>IF(Source!BA198&lt;&gt; 0, Source!BA198, 1)</f>
        <v>1</v>
      </c>
      <c r="J301" s="22">
        <f>Source!S198</f>
        <v>74.94</v>
      </c>
      <c r="K301" s="22"/>
    </row>
    <row r="302" spans="1:22" ht="14.25" x14ac:dyDescent="0.2">
      <c r="A302" s="19"/>
      <c r="B302" s="19"/>
      <c r="C302" s="19" t="s">
        <v>508</v>
      </c>
      <c r="D302" s="20"/>
      <c r="E302" s="9"/>
      <c r="F302" s="22">
        <f>Source!AL198</f>
        <v>22.51</v>
      </c>
      <c r="G302" s="21" t="str">
        <f>Source!DD198</f>
        <v/>
      </c>
      <c r="H302" s="9">
        <f>Source!AW198</f>
        <v>1</v>
      </c>
      <c r="I302" s="9">
        <f>IF(Source!BC198&lt;&gt; 0, Source!BC198, 1)</f>
        <v>1</v>
      </c>
      <c r="J302" s="22">
        <f>Source!P198</f>
        <v>0.32</v>
      </c>
      <c r="K302" s="22"/>
    </row>
    <row r="303" spans="1:22" ht="14.25" x14ac:dyDescent="0.2">
      <c r="A303" s="19"/>
      <c r="B303" s="19"/>
      <c r="C303" s="19" t="s">
        <v>501</v>
      </c>
      <c r="D303" s="20" t="s">
        <v>502</v>
      </c>
      <c r="E303" s="9">
        <f>Source!AT198</f>
        <v>70</v>
      </c>
      <c r="F303" s="22"/>
      <c r="G303" s="21"/>
      <c r="H303" s="9"/>
      <c r="I303" s="9"/>
      <c r="J303" s="22">
        <f>SUM(R299:R302)</f>
        <v>52.46</v>
      </c>
      <c r="K303" s="22"/>
    </row>
    <row r="304" spans="1:22" ht="14.25" x14ac:dyDescent="0.2">
      <c r="A304" s="19"/>
      <c r="B304" s="19"/>
      <c r="C304" s="19" t="s">
        <v>503</v>
      </c>
      <c r="D304" s="20" t="s">
        <v>502</v>
      </c>
      <c r="E304" s="9">
        <f>Source!AU198</f>
        <v>10</v>
      </c>
      <c r="F304" s="22"/>
      <c r="G304" s="21"/>
      <c r="H304" s="9"/>
      <c r="I304" s="9"/>
      <c r="J304" s="22">
        <f>SUM(T299:T303)</f>
        <v>7.49</v>
      </c>
      <c r="K304" s="22"/>
    </row>
    <row r="305" spans="1:32" ht="14.25" x14ac:dyDescent="0.2">
      <c r="A305" s="19"/>
      <c r="B305" s="19"/>
      <c r="C305" s="19" t="s">
        <v>504</v>
      </c>
      <c r="D305" s="20" t="s">
        <v>505</v>
      </c>
      <c r="E305" s="9">
        <f>Source!AQ198</f>
        <v>10</v>
      </c>
      <c r="F305" s="22"/>
      <c r="G305" s="21" t="str">
        <f>Source!DI198</f>
        <v/>
      </c>
      <c r="H305" s="9">
        <f>Source!AV198</f>
        <v>1</v>
      </c>
      <c r="I305" s="9"/>
      <c r="J305" s="22"/>
      <c r="K305" s="22">
        <f>Source!U198</f>
        <v>0.14000000000000001</v>
      </c>
    </row>
    <row r="306" spans="1:32" ht="15" x14ac:dyDescent="0.25">
      <c r="A306" s="25"/>
      <c r="B306" s="25"/>
      <c r="C306" s="25"/>
      <c r="D306" s="25"/>
      <c r="E306" s="25"/>
      <c r="F306" s="25"/>
      <c r="G306" s="25"/>
      <c r="H306" s="25"/>
      <c r="I306" s="52">
        <f>J301+J302+J303+J304</f>
        <v>135.21</v>
      </c>
      <c r="J306" s="52"/>
      <c r="K306" s="26">
        <f>IF(Source!I198&lt;&gt;0, ROUND(I306/Source!I198, 2), 0)</f>
        <v>9657.86</v>
      </c>
      <c r="P306" s="24">
        <f>I306</f>
        <v>135.21</v>
      </c>
    </row>
    <row r="308" spans="1:32" ht="15" customHeight="1" x14ac:dyDescent="0.25">
      <c r="A308" s="54" t="str">
        <f>CONCATENATE("Итого по подразделу: ",IF(Source!G201&lt;&gt;"Новый подраздел", Source!G201, ""))</f>
        <v>Итого по подразделу: Система электроснабжения</v>
      </c>
      <c r="B308" s="54"/>
      <c r="C308" s="54"/>
      <c r="D308" s="54"/>
      <c r="E308" s="54"/>
      <c r="F308" s="54"/>
      <c r="G308" s="54"/>
      <c r="H308" s="54"/>
      <c r="I308" s="53">
        <f>SUM(P189:P307)</f>
        <v>379660.11000000004</v>
      </c>
      <c r="J308" s="53"/>
      <c r="K308" s="28"/>
    </row>
    <row r="311" spans="1:32" ht="30" customHeight="1" x14ac:dyDescent="0.25">
      <c r="A311" s="54" t="str">
        <f>CONCATENATE("Итого по разделу: ",IF(Source!G231&lt;&gt;"Новый раздел", Source!G231, ""))</f>
        <v>Итого по разделу: Туалетные модули (7 шт) по адресу: г. Москва, городское поселение Краснопахорское, квартал 107</v>
      </c>
      <c r="B311" s="54"/>
      <c r="C311" s="54"/>
      <c r="D311" s="54"/>
      <c r="E311" s="54"/>
      <c r="F311" s="54"/>
      <c r="G311" s="54"/>
      <c r="H311" s="54"/>
      <c r="I311" s="53">
        <f>SUM(P34:P310)</f>
        <v>989775.24000000011</v>
      </c>
      <c r="J311" s="53"/>
      <c r="K311" s="28"/>
      <c r="AF311" s="29" t="str">
        <f>CONCATENATE("Итого по разделу: ",IF(Source!G231&lt;&gt;"Новый раздел", Source!G231, ""))</f>
        <v>Итого по разделу: Туалетные модули (7 шт) по адресу: г. Москва, городское поселение Краснопахорское, квартал 107</v>
      </c>
    </row>
    <row r="314" spans="1:32" ht="16.5" customHeight="1" x14ac:dyDescent="0.25">
      <c r="A314" s="51" t="str">
        <f>CONCATENATE("Раздел: ",IF(Source!G261&lt;&gt;"Новый раздел", Source!G261, ""))</f>
        <v>Раздел: Дом односекционный  (15 шт.) по адресу: г. Москва, городское поселение Краснопахорское, квартал 107</v>
      </c>
      <c r="B314" s="51"/>
      <c r="C314" s="51"/>
      <c r="D314" s="51"/>
      <c r="E314" s="51"/>
      <c r="F314" s="51"/>
      <c r="G314" s="51"/>
      <c r="H314" s="51"/>
      <c r="I314" s="51"/>
      <c r="J314" s="51"/>
      <c r="K314" s="51"/>
      <c r="AE314" s="18" t="str">
        <f>CONCATENATE("Раздел: ",IF(Source!G261&lt;&gt;"Новый раздел", Source!G261, ""))</f>
        <v>Раздел: Дом односекционный  (15 шт.) по адресу: г. Москва, городское поселение Краснопахорское, квартал 107</v>
      </c>
    </row>
    <row r="316" spans="1:32" ht="16.5" customHeight="1" x14ac:dyDescent="0.25">
      <c r="A316" s="51" t="str">
        <f>CONCATENATE("Подраздел: ",IF(Source!G265&lt;&gt;"Новый подраздел", Source!G265, ""))</f>
        <v>Подраздел: Система внутреннего водоснабжения и водоотведения</v>
      </c>
      <c r="B316" s="51"/>
      <c r="C316" s="51"/>
      <c r="D316" s="51"/>
      <c r="E316" s="51"/>
      <c r="F316" s="51"/>
      <c r="G316" s="51"/>
      <c r="H316" s="51"/>
      <c r="I316" s="51"/>
      <c r="J316" s="51"/>
      <c r="K316" s="51"/>
    </row>
    <row r="317" spans="1:32" ht="28.5" x14ac:dyDescent="0.2">
      <c r="A317" s="19">
        <v>29</v>
      </c>
      <c r="B317" s="19" t="str">
        <f>Source!F271</f>
        <v>1.16-3201-2-1/1</v>
      </c>
      <c r="C317" s="19" t="str">
        <f>Source!G271</f>
        <v>Укрепление расшатавшихся санитарно-технических приборов - умывальники</v>
      </c>
      <c r="D317" s="20" t="str">
        <f>Source!H271</f>
        <v>100 шт.</v>
      </c>
      <c r="E317" s="9">
        <f>Source!I271</f>
        <v>0.15</v>
      </c>
      <c r="F317" s="22"/>
      <c r="G317" s="21"/>
      <c r="H317" s="9"/>
      <c r="I317" s="9"/>
      <c r="J317" s="22"/>
      <c r="K317" s="22"/>
      <c r="Q317">
        <f>ROUND((Source!BZ271/100)*ROUND((Source!AF271*Source!AV271)*Source!I271, 2), 2)</f>
        <v>5558.22</v>
      </c>
      <c r="R317">
        <f>Source!X271</f>
        <v>5558.22</v>
      </c>
      <c r="S317">
        <f>ROUND((Source!CA271/100)*ROUND((Source!AF271*Source!AV271)*Source!I271, 2), 2)</f>
        <v>794.03</v>
      </c>
      <c r="T317">
        <f>Source!Y271</f>
        <v>794.03</v>
      </c>
      <c r="U317">
        <f>ROUND((175/100)*ROUND((Source!AE271*Source!AV271)*Source!I271, 2), 2)</f>
        <v>0.19</v>
      </c>
      <c r="V317">
        <f>ROUND((108/100)*ROUND(Source!CS271*Source!I271, 2), 2)</f>
        <v>0.12</v>
      </c>
    </row>
    <row r="318" spans="1:32" x14ac:dyDescent="0.2">
      <c r="C318" s="23" t="str">
        <f>"Объем: "&amp;Source!I271&amp;"=(15)*"&amp;"1/"&amp;"100"</f>
        <v>Объем: 0,15=(15)*1/100</v>
      </c>
    </row>
    <row r="319" spans="1:32" ht="14.25" x14ac:dyDescent="0.2">
      <c r="A319" s="19"/>
      <c r="B319" s="19"/>
      <c r="C319" s="19" t="s">
        <v>500</v>
      </c>
      <c r="D319" s="20"/>
      <c r="E319" s="9"/>
      <c r="F319" s="22">
        <f>Source!AO271</f>
        <v>52935.41</v>
      </c>
      <c r="G319" s="21" t="str">
        <f>Source!DG271</f>
        <v/>
      </c>
      <c r="H319" s="9">
        <f>Source!AV271</f>
        <v>1</v>
      </c>
      <c r="I319" s="9">
        <f>IF(Source!BA271&lt;&gt; 0, Source!BA271, 1)</f>
        <v>1</v>
      </c>
      <c r="J319" s="22">
        <f>Source!S271</f>
        <v>7940.31</v>
      </c>
      <c r="K319" s="22"/>
    </row>
    <row r="320" spans="1:32" ht="14.25" x14ac:dyDescent="0.2">
      <c r="A320" s="19"/>
      <c r="B320" s="19"/>
      <c r="C320" s="19" t="s">
        <v>506</v>
      </c>
      <c r="D320" s="20"/>
      <c r="E320" s="9"/>
      <c r="F320" s="22">
        <f>Source!AM271</f>
        <v>61.83</v>
      </c>
      <c r="G320" s="21" t="str">
        <f>Source!DE271</f>
        <v/>
      </c>
      <c r="H320" s="9">
        <f>Source!AV271</f>
        <v>1</v>
      </c>
      <c r="I320" s="9">
        <f>IF(Source!BB271&lt;&gt; 0, Source!BB271, 1)</f>
        <v>1</v>
      </c>
      <c r="J320" s="22">
        <f>Source!Q271</f>
        <v>9.27</v>
      </c>
      <c r="K320" s="22"/>
    </row>
    <row r="321" spans="1:22" ht="14.25" x14ac:dyDescent="0.2">
      <c r="A321" s="19"/>
      <c r="B321" s="19"/>
      <c r="C321" s="19" t="s">
        <v>507</v>
      </c>
      <c r="D321" s="20"/>
      <c r="E321" s="9"/>
      <c r="F321" s="22">
        <f>Source!AN271</f>
        <v>0.7</v>
      </c>
      <c r="G321" s="21" t="str">
        <f>Source!DF271</f>
        <v/>
      </c>
      <c r="H321" s="9">
        <f>Source!AV271</f>
        <v>1</v>
      </c>
      <c r="I321" s="9">
        <f>IF(Source!BS271&lt;&gt; 0, Source!BS271, 1)</f>
        <v>1</v>
      </c>
      <c r="J321" s="27">
        <f>Source!R271</f>
        <v>0.11</v>
      </c>
      <c r="K321" s="22"/>
    </row>
    <row r="322" spans="1:22" ht="14.25" x14ac:dyDescent="0.2">
      <c r="A322" s="19"/>
      <c r="B322" s="19"/>
      <c r="C322" s="19" t="s">
        <v>508</v>
      </c>
      <c r="D322" s="20"/>
      <c r="E322" s="9"/>
      <c r="F322" s="22">
        <f>Source!AL271</f>
        <v>776.55</v>
      </c>
      <c r="G322" s="21" t="str">
        <f>Source!DD271</f>
        <v/>
      </c>
      <c r="H322" s="9">
        <f>Source!AW271</f>
        <v>1</v>
      </c>
      <c r="I322" s="9">
        <f>IF(Source!BC271&lt;&gt; 0, Source!BC271, 1)</f>
        <v>1</v>
      </c>
      <c r="J322" s="22">
        <f>Source!P271</f>
        <v>116.48</v>
      </c>
      <c r="K322" s="22"/>
    </row>
    <row r="323" spans="1:22" ht="14.25" x14ac:dyDescent="0.2">
      <c r="A323" s="19"/>
      <c r="B323" s="19"/>
      <c r="C323" s="19" t="s">
        <v>501</v>
      </c>
      <c r="D323" s="20" t="s">
        <v>502</v>
      </c>
      <c r="E323" s="9">
        <f>Source!AT271</f>
        <v>70</v>
      </c>
      <c r="F323" s="22"/>
      <c r="G323" s="21"/>
      <c r="H323" s="9"/>
      <c r="I323" s="9"/>
      <c r="J323" s="22">
        <f>SUM(R317:R322)</f>
        <v>5558.22</v>
      </c>
      <c r="K323" s="22"/>
    </row>
    <row r="324" spans="1:22" ht="14.25" x14ac:dyDescent="0.2">
      <c r="A324" s="19"/>
      <c r="B324" s="19"/>
      <c r="C324" s="19" t="s">
        <v>503</v>
      </c>
      <c r="D324" s="20" t="s">
        <v>502</v>
      </c>
      <c r="E324" s="9">
        <f>Source!AU271</f>
        <v>10</v>
      </c>
      <c r="F324" s="22"/>
      <c r="G324" s="21"/>
      <c r="H324" s="9"/>
      <c r="I324" s="9"/>
      <c r="J324" s="22">
        <f>SUM(T317:T323)</f>
        <v>794.03</v>
      </c>
      <c r="K324" s="22"/>
    </row>
    <row r="325" spans="1:22" ht="14.25" x14ac:dyDescent="0.2">
      <c r="A325" s="19"/>
      <c r="B325" s="19"/>
      <c r="C325" s="19" t="s">
        <v>509</v>
      </c>
      <c r="D325" s="20" t="s">
        <v>502</v>
      </c>
      <c r="E325" s="9">
        <f>108</f>
        <v>108</v>
      </c>
      <c r="F325" s="22"/>
      <c r="G325" s="21"/>
      <c r="H325" s="9"/>
      <c r="I325" s="9"/>
      <c r="J325" s="22">
        <f>SUM(V317:V324)</f>
        <v>0.12</v>
      </c>
      <c r="K325" s="22"/>
    </row>
    <row r="326" spans="1:22" ht="14.25" x14ac:dyDescent="0.2">
      <c r="A326" s="19"/>
      <c r="B326" s="19"/>
      <c r="C326" s="19" t="s">
        <v>504</v>
      </c>
      <c r="D326" s="20" t="s">
        <v>505</v>
      </c>
      <c r="E326" s="9">
        <f>Source!AQ271</f>
        <v>104.44</v>
      </c>
      <c r="F326" s="22"/>
      <c r="G326" s="21" t="str">
        <f>Source!DI271</f>
        <v/>
      </c>
      <c r="H326" s="9">
        <f>Source!AV271</f>
        <v>1</v>
      </c>
      <c r="I326" s="9"/>
      <c r="J326" s="22"/>
      <c r="K326" s="22">
        <f>Source!U271</f>
        <v>15.665999999999999</v>
      </c>
    </row>
    <row r="327" spans="1:22" ht="15" x14ac:dyDescent="0.25">
      <c r="A327" s="25"/>
      <c r="B327" s="25"/>
      <c r="C327" s="25"/>
      <c r="D327" s="25"/>
      <c r="E327" s="25"/>
      <c r="F327" s="25"/>
      <c r="G327" s="25"/>
      <c r="H327" s="25"/>
      <c r="I327" s="52">
        <f>J319+J320+J322+J323+J324+J325</f>
        <v>14418.430000000002</v>
      </c>
      <c r="J327" s="52"/>
      <c r="K327" s="26">
        <f>IF(Source!I271&lt;&gt;0, ROUND(I327/Source!I271, 2), 0)</f>
        <v>96122.87</v>
      </c>
      <c r="P327" s="24">
        <f>I327</f>
        <v>14418.430000000002</v>
      </c>
    </row>
    <row r="328" spans="1:22" ht="42.75" x14ac:dyDescent="0.2">
      <c r="A328" s="19">
        <v>30</v>
      </c>
      <c r="B328" s="19" t="str">
        <f>Source!F272</f>
        <v>1.16-3201-2-2/1</v>
      </c>
      <c r="C328" s="19" t="str">
        <f>Source!G272</f>
        <v>Укрепление расшатавшихся санитарно-технических приборов - унитазы и биде</v>
      </c>
      <c r="D328" s="20" t="str">
        <f>Source!H272</f>
        <v>100 шт.</v>
      </c>
      <c r="E328" s="9">
        <f>Source!I272</f>
        <v>0.15</v>
      </c>
      <c r="F328" s="22"/>
      <c r="G328" s="21"/>
      <c r="H328" s="9"/>
      <c r="I328" s="9"/>
      <c r="J328" s="22"/>
      <c r="K328" s="22"/>
      <c r="Q328">
        <f>ROUND((Source!BZ272/100)*ROUND((Source!AF272*Source!AV272)*Source!I272, 2), 2)</f>
        <v>8085.6</v>
      </c>
      <c r="R328">
        <f>Source!X272</f>
        <v>8085.6</v>
      </c>
      <c r="S328">
        <f>ROUND((Source!CA272/100)*ROUND((Source!AF272*Source!AV272)*Source!I272, 2), 2)</f>
        <v>1155.0899999999999</v>
      </c>
      <c r="T328">
        <f>Source!Y272</f>
        <v>1155.0899999999999</v>
      </c>
      <c r="U328">
        <f>ROUND((175/100)*ROUND((Source!AE272*Source!AV272)*Source!I272, 2), 2)</f>
        <v>0.19</v>
      </c>
      <c r="V328">
        <f>ROUND((108/100)*ROUND(Source!CS272*Source!I272, 2), 2)</f>
        <v>0.12</v>
      </c>
    </row>
    <row r="329" spans="1:22" x14ac:dyDescent="0.2">
      <c r="C329" s="23" t="str">
        <f>"Объем: "&amp;Source!I272&amp;"=(15)*"&amp;"1/"&amp;"100"</f>
        <v>Объем: 0,15=(15)*1/100</v>
      </c>
    </row>
    <row r="330" spans="1:22" ht="14.25" x14ac:dyDescent="0.2">
      <c r="A330" s="19"/>
      <c r="B330" s="19"/>
      <c r="C330" s="19" t="s">
        <v>500</v>
      </c>
      <c r="D330" s="20"/>
      <c r="E330" s="9"/>
      <c r="F330" s="22">
        <f>Source!AO272</f>
        <v>77005.72</v>
      </c>
      <c r="G330" s="21" t="str">
        <f>Source!DG272</f>
        <v/>
      </c>
      <c r="H330" s="9">
        <f>Source!AV272</f>
        <v>1</v>
      </c>
      <c r="I330" s="9">
        <f>IF(Source!BA272&lt;&gt; 0, Source!BA272, 1)</f>
        <v>1</v>
      </c>
      <c r="J330" s="22">
        <f>Source!S272</f>
        <v>11550.86</v>
      </c>
      <c r="K330" s="22"/>
    </row>
    <row r="331" spans="1:22" ht="14.25" x14ac:dyDescent="0.2">
      <c r="A331" s="19"/>
      <c r="B331" s="19"/>
      <c r="C331" s="19" t="s">
        <v>506</v>
      </c>
      <c r="D331" s="20"/>
      <c r="E331" s="9"/>
      <c r="F331" s="22">
        <f>Source!AM272</f>
        <v>61.83</v>
      </c>
      <c r="G331" s="21" t="str">
        <f>Source!DE272</f>
        <v/>
      </c>
      <c r="H331" s="9">
        <f>Source!AV272</f>
        <v>1</v>
      </c>
      <c r="I331" s="9">
        <f>IF(Source!BB272&lt;&gt; 0, Source!BB272, 1)</f>
        <v>1</v>
      </c>
      <c r="J331" s="22">
        <f>Source!Q272</f>
        <v>9.27</v>
      </c>
      <c r="K331" s="22"/>
    </row>
    <row r="332" spans="1:22" ht="14.25" x14ac:dyDescent="0.2">
      <c r="A332" s="19"/>
      <c r="B332" s="19"/>
      <c r="C332" s="19" t="s">
        <v>507</v>
      </c>
      <c r="D332" s="20"/>
      <c r="E332" s="9"/>
      <c r="F332" s="22">
        <f>Source!AN272</f>
        <v>0.7</v>
      </c>
      <c r="G332" s="21" t="str">
        <f>Source!DF272</f>
        <v/>
      </c>
      <c r="H332" s="9">
        <f>Source!AV272</f>
        <v>1</v>
      </c>
      <c r="I332" s="9">
        <f>IF(Source!BS272&lt;&gt; 0, Source!BS272, 1)</f>
        <v>1</v>
      </c>
      <c r="J332" s="27">
        <f>Source!R272</f>
        <v>0.11</v>
      </c>
      <c r="K332" s="22"/>
    </row>
    <row r="333" spans="1:22" ht="14.25" x14ac:dyDescent="0.2">
      <c r="A333" s="19"/>
      <c r="B333" s="19"/>
      <c r="C333" s="19" t="s">
        <v>508</v>
      </c>
      <c r="D333" s="20"/>
      <c r="E333" s="9"/>
      <c r="F333" s="22">
        <f>Source!AL272</f>
        <v>776.55</v>
      </c>
      <c r="G333" s="21" t="str">
        <f>Source!DD272</f>
        <v/>
      </c>
      <c r="H333" s="9">
        <f>Source!AW272</f>
        <v>1</v>
      </c>
      <c r="I333" s="9">
        <f>IF(Source!BC272&lt;&gt; 0, Source!BC272, 1)</f>
        <v>1</v>
      </c>
      <c r="J333" s="22">
        <f>Source!P272</f>
        <v>116.48</v>
      </c>
      <c r="K333" s="22"/>
    </row>
    <row r="334" spans="1:22" ht="14.25" x14ac:dyDescent="0.2">
      <c r="A334" s="19"/>
      <c r="B334" s="19"/>
      <c r="C334" s="19" t="s">
        <v>501</v>
      </c>
      <c r="D334" s="20" t="s">
        <v>502</v>
      </c>
      <c r="E334" s="9">
        <f>Source!AT272</f>
        <v>70</v>
      </c>
      <c r="F334" s="22"/>
      <c r="G334" s="21"/>
      <c r="H334" s="9"/>
      <c r="I334" s="9"/>
      <c r="J334" s="22">
        <f>SUM(R328:R333)</f>
        <v>8085.6</v>
      </c>
      <c r="K334" s="22"/>
    </row>
    <row r="335" spans="1:22" ht="14.25" x14ac:dyDescent="0.2">
      <c r="A335" s="19"/>
      <c r="B335" s="19"/>
      <c r="C335" s="19" t="s">
        <v>503</v>
      </c>
      <c r="D335" s="20" t="s">
        <v>502</v>
      </c>
      <c r="E335" s="9">
        <f>Source!AU272</f>
        <v>10</v>
      </c>
      <c r="F335" s="22"/>
      <c r="G335" s="21"/>
      <c r="H335" s="9"/>
      <c r="I335" s="9"/>
      <c r="J335" s="22">
        <f>SUM(T328:T334)</f>
        <v>1155.0899999999999</v>
      </c>
      <c r="K335" s="22"/>
    </row>
    <row r="336" spans="1:22" ht="14.25" x14ac:dyDescent="0.2">
      <c r="A336" s="19"/>
      <c r="B336" s="19"/>
      <c r="C336" s="19" t="s">
        <v>509</v>
      </c>
      <c r="D336" s="20" t="s">
        <v>502</v>
      </c>
      <c r="E336" s="9">
        <f>108</f>
        <v>108</v>
      </c>
      <c r="F336" s="22"/>
      <c r="G336" s="21"/>
      <c r="H336" s="9"/>
      <c r="I336" s="9"/>
      <c r="J336" s="22">
        <f>SUM(V328:V335)</f>
        <v>0.12</v>
      </c>
      <c r="K336" s="22"/>
    </row>
    <row r="337" spans="1:22" ht="14.25" x14ac:dyDescent="0.2">
      <c r="A337" s="19"/>
      <c r="B337" s="19"/>
      <c r="C337" s="19" t="s">
        <v>504</v>
      </c>
      <c r="D337" s="20" t="s">
        <v>505</v>
      </c>
      <c r="E337" s="9">
        <f>Source!AQ272</f>
        <v>151.93</v>
      </c>
      <c r="F337" s="22"/>
      <c r="G337" s="21" t="str">
        <f>Source!DI272</f>
        <v/>
      </c>
      <c r="H337" s="9">
        <f>Source!AV272</f>
        <v>1</v>
      </c>
      <c r="I337" s="9"/>
      <c r="J337" s="22"/>
      <c r="K337" s="22">
        <f>Source!U272</f>
        <v>22.7895</v>
      </c>
    </row>
    <row r="338" spans="1:22" ht="15" x14ac:dyDescent="0.25">
      <c r="A338" s="25"/>
      <c r="B338" s="25"/>
      <c r="C338" s="25"/>
      <c r="D338" s="25"/>
      <c r="E338" s="25"/>
      <c r="F338" s="25"/>
      <c r="G338" s="25"/>
      <c r="H338" s="25"/>
      <c r="I338" s="52">
        <f>J330+J331+J333+J334+J335+J336</f>
        <v>20917.419999999998</v>
      </c>
      <c r="J338" s="52"/>
      <c r="K338" s="26">
        <f>IF(Source!I272&lt;&gt;0, ROUND(I338/Source!I272, 2), 0)</f>
        <v>139449.47</v>
      </c>
      <c r="P338" s="24">
        <f>I338</f>
        <v>20917.419999999998</v>
      </c>
    </row>
    <row r="339" spans="1:22" ht="28.5" x14ac:dyDescent="0.2">
      <c r="A339" s="19">
        <v>31</v>
      </c>
      <c r="B339" s="19" t="str">
        <f>Source!F273</f>
        <v>1.16-3201-1-1/1</v>
      </c>
      <c r="C339" s="19" t="str">
        <f>Source!G273</f>
        <v>Регулировка смывного бачка</v>
      </c>
      <c r="D339" s="20" t="str">
        <f>Source!H273</f>
        <v>100 приборов</v>
      </c>
      <c r="E339" s="9">
        <f>Source!I273</f>
        <v>0.15</v>
      </c>
      <c r="F339" s="22"/>
      <c r="G339" s="21"/>
      <c r="H339" s="9"/>
      <c r="I339" s="9"/>
      <c r="J339" s="22"/>
      <c r="K339" s="22"/>
      <c r="Q339">
        <f>ROUND((Source!BZ273/100)*ROUND((Source!AF273*Source!AV273)*Source!I273, 2), 2)</f>
        <v>1669.09</v>
      </c>
      <c r="R339">
        <f>Source!X273</f>
        <v>1669.09</v>
      </c>
      <c r="S339">
        <f>ROUND((Source!CA273/100)*ROUND((Source!AF273*Source!AV273)*Source!I273, 2), 2)</f>
        <v>238.44</v>
      </c>
      <c r="T339">
        <f>Source!Y273</f>
        <v>238.44</v>
      </c>
      <c r="U339">
        <f>ROUND((175/100)*ROUND((Source!AE273*Source!AV273)*Source!I273, 2), 2)</f>
        <v>0</v>
      </c>
      <c r="V339">
        <f>ROUND((108/100)*ROUND(Source!CS273*Source!I273, 2), 2)</f>
        <v>0</v>
      </c>
    </row>
    <row r="340" spans="1:22" x14ac:dyDescent="0.2">
      <c r="C340" s="23" t="str">
        <f>"Объем: "&amp;Source!I273&amp;"=15*"&amp;"1/"&amp;"100"</f>
        <v>Объем: 0,15=15*1/100</v>
      </c>
    </row>
    <row r="341" spans="1:22" ht="14.25" x14ac:dyDescent="0.2">
      <c r="A341" s="19"/>
      <c r="B341" s="19"/>
      <c r="C341" s="19" t="s">
        <v>500</v>
      </c>
      <c r="D341" s="20"/>
      <c r="E341" s="9"/>
      <c r="F341" s="22">
        <f>Source!AO273</f>
        <v>15896.11</v>
      </c>
      <c r="G341" s="21" t="str">
        <f>Source!DG273</f>
        <v/>
      </c>
      <c r="H341" s="9">
        <f>Source!AV273</f>
        <v>1</v>
      </c>
      <c r="I341" s="9">
        <f>IF(Source!BA273&lt;&gt; 0, Source!BA273, 1)</f>
        <v>1</v>
      </c>
      <c r="J341" s="22">
        <f>Source!S273</f>
        <v>2384.42</v>
      </c>
      <c r="K341" s="22"/>
    </row>
    <row r="342" spans="1:22" ht="14.25" x14ac:dyDescent="0.2">
      <c r="A342" s="19"/>
      <c r="B342" s="19"/>
      <c r="C342" s="19" t="s">
        <v>501</v>
      </c>
      <c r="D342" s="20" t="s">
        <v>502</v>
      </c>
      <c r="E342" s="9">
        <f>Source!AT273</f>
        <v>70</v>
      </c>
      <c r="F342" s="22"/>
      <c r="G342" s="21"/>
      <c r="H342" s="9"/>
      <c r="I342" s="9"/>
      <c r="J342" s="22">
        <f>SUM(R339:R341)</f>
        <v>1669.09</v>
      </c>
      <c r="K342" s="22"/>
    </row>
    <row r="343" spans="1:22" ht="14.25" x14ac:dyDescent="0.2">
      <c r="A343" s="19"/>
      <c r="B343" s="19"/>
      <c r="C343" s="19" t="s">
        <v>503</v>
      </c>
      <c r="D343" s="20" t="s">
        <v>502</v>
      </c>
      <c r="E343" s="9">
        <f>Source!AU273</f>
        <v>10</v>
      </c>
      <c r="F343" s="22"/>
      <c r="G343" s="21"/>
      <c r="H343" s="9"/>
      <c r="I343" s="9"/>
      <c r="J343" s="22">
        <f>SUM(T339:T342)</f>
        <v>238.44</v>
      </c>
      <c r="K343" s="22"/>
    </row>
    <row r="344" spans="1:22" ht="14.25" x14ac:dyDescent="0.2">
      <c r="A344" s="19"/>
      <c r="B344" s="19"/>
      <c r="C344" s="19" t="s">
        <v>504</v>
      </c>
      <c r="D344" s="20" t="s">
        <v>505</v>
      </c>
      <c r="E344" s="9">
        <f>Source!AQ273</f>
        <v>26.7</v>
      </c>
      <c r="F344" s="22"/>
      <c r="G344" s="21" t="str">
        <f>Source!DI273</f>
        <v/>
      </c>
      <c r="H344" s="9">
        <f>Source!AV273</f>
        <v>1</v>
      </c>
      <c r="I344" s="9"/>
      <c r="J344" s="22"/>
      <c r="K344" s="22">
        <f>Source!U273</f>
        <v>4.0049999999999999</v>
      </c>
    </row>
    <row r="345" spans="1:22" ht="15" x14ac:dyDescent="0.25">
      <c r="A345" s="25"/>
      <c r="B345" s="25"/>
      <c r="C345" s="25"/>
      <c r="D345" s="25"/>
      <c r="E345" s="25"/>
      <c r="F345" s="25"/>
      <c r="G345" s="25"/>
      <c r="H345" s="25"/>
      <c r="I345" s="52">
        <f>J341+J342+J343</f>
        <v>4291.95</v>
      </c>
      <c r="J345" s="52"/>
      <c r="K345" s="26">
        <f>IF(Source!I273&lt;&gt;0, ROUND(I345/Source!I273, 2), 0)</f>
        <v>28613</v>
      </c>
      <c r="P345" s="24">
        <f>I345</f>
        <v>4291.95</v>
      </c>
    </row>
    <row r="346" spans="1:22" ht="42.75" x14ac:dyDescent="0.2">
      <c r="A346" s="19">
        <v>32</v>
      </c>
      <c r="B346" s="19" t="str">
        <f>Source!F275</f>
        <v>1.23-2103-41-1/1</v>
      </c>
      <c r="C346" s="19" t="str">
        <f>Source!G275</f>
        <v>Техническое обслуживание регулирующего клапана / Смеситель для раковины</v>
      </c>
      <c r="D346" s="20" t="str">
        <f>Source!H275</f>
        <v>шт.</v>
      </c>
      <c r="E346" s="9">
        <f>Source!I275</f>
        <v>15</v>
      </c>
      <c r="F346" s="22"/>
      <c r="G346" s="21"/>
      <c r="H346" s="9"/>
      <c r="I346" s="9"/>
      <c r="J346" s="22"/>
      <c r="K346" s="22"/>
      <c r="Q346">
        <f>ROUND((Source!BZ275/100)*ROUND((Source!AF275*Source!AV275)*Source!I275, 2), 2)</f>
        <v>2184</v>
      </c>
      <c r="R346">
        <f>Source!X275</f>
        <v>2184</v>
      </c>
      <c r="S346">
        <f>ROUND((Source!CA275/100)*ROUND((Source!AF275*Source!AV275)*Source!I275, 2), 2)</f>
        <v>312</v>
      </c>
      <c r="T346">
        <f>Source!Y275</f>
        <v>312</v>
      </c>
      <c r="U346">
        <f>ROUND((175/100)*ROUND((Source!AE275*Source!AV275)*Source!I275, 2), 2)</f>
        <v>1301.21</v>
      </c>
      <c r="V346">
        <f>ROUND((108/100)*ROUND(Source!CS275*Source!I275, 2), 2)</f>
        <v>803.03</v>
      </c>
    </row>
    <row r="347" spans="1:22" x14ac:dyDescent="0.2">
      <c r="C347" s="23" t="str">
        <f>"Объем: "&amp;Source!I275&amp;"=(15)*"&amp;"1"</f>
        <v>Объем: 15=(15)*1</v>
      </c>
    </row>
    <row r="348" spans="1:22" ht="14.25" x14ac:dyDescent="0.2">
      <c r="A348" s="19"/>
      <c r="B348" s="19"/>
      <c r="C348" s="19" t="s">
        <v>500</v>
      </c>
      <c r="D348" s="20"/>
      <c r="E348" s="9"/>
      <c r="F348" s="22">
        <f>Source!AO275</f>
        <v>208</v>
      </c>
      <c r="G348" s="21" t="str">
        <f>Source!DG275</f>
        <v/>
      </c>
      <c r="H348" s="9">
        <f>Source!AV275</f>
        <v>1</v>
      </c>
      <c r="I348" s="9">
        <f>IF(Source!BA275&lt;&gt; 0, Source!BA275, 1)</f>
        <v>1</v>
      </c>
      <c r="J348" s="22">
        <f>Source!S275</f>
        <v>3120</v>
      </c>
      <c r="K348" s="22"/>
    </row>
    <row r="349" spans="1:22" ht="14.25" x14ac:dyDescent="0.2">
      <c r="A349" s="19"/>
      <c r="B349" s="19"/>
      <c r="C349" s="19" t="s">
        <v>506</v>
      </c>
      <c r="D349" s="20"/>
      <c r="E349" s="9"/>
      <c r="F349" s="22">
        <f>Source!AM275</f>
        <v>78.180000000000007</v>
      </c>
      <c r="G349" s="21" t="str">
        <f>Source!DE275</f>
        <v/>
      </c>
      <c r="H349" s="9">
        <f>Source!AV275</f>
        <v>1</v>
      </c>
      <c r="I349" s="9">
        <f>IF(Source!BB275&lt;&gt; 0, Source!BB275, 1)</f>
        <v>1</v>
      </c>
      <c r="J349" s="22">
        <f>Source!Q275</f>
        <v>1172.7</v>
      </c>
      <c r="K349" s="22"/>
    </row>
    <row r="350" spans="1:22" ht="14.25" x14ac:dyDescent="0.2">
      <c r="A350" s="19"/>
      <c r="B350" s="19"/>
      <c r="C350" s="19" t="s">
        <v>507</v>
      </c>
      <c r="D350" s="20"/>
      <c r="E350" s="9"/>
      <c r="F350" s="22">
        <f>Source!AN275</f>
        <v>49.57</v>
      </c>
      <c r="G350" s="21" t="str">
        <f>Source!DF275</f>
        <v/>
      </c>
      <c r="H350" s="9">
        <f>Source!AV275</f>
        <v>1</v>
      </c>
      <c r="I350" s="9">
        <f>IF(Source!BS275&lt;&gt; 0, Source!BS275, 1)</f>
        <v>1</v>
      </c>
      <c r="J350" s="27">
        <f>Source!R275</f>
        <v>743.55</v>
      </c>
      <c r="K350" s="22"/>
    </row>
    <row r="351" spans="1:22" ht="14.25" x14ac:dyDescent="0.2">
      <c r="A351" s="19"/>
      <c r="B351" s="19"/>
      <c r="C351" s="19" t="s">
        <v>501</v>
      </c>
      <c r="D351" s="20" t="s">
        <v>502</v>
      </c>
      <c r="E351" s="9">
        <f>Source!AT275</f>
        <v>70</v>
      </c>
      <c r="F351" s="22"/>
      <c r="G351" s="21"/>
      <c r="H351" s="9"/>
      <c r="I351" s="9"/>
      <c r="J351" s="22">
        <f>SUM(R346:R350)</f>
        <v>2184</v>
      </c>
      <c r="K351" s="22"/>
    </row>
    <row r="352" spans="1:22" ht="14.25" x14ac:dyDescent="0.2">
      <c r="A352" s="19"/>
      <c r="B352" s="19"/>
      <c r="C352" s="19" t="s">
        <v>503</v>
      </c>
      <c r="D352" s="20" t="s">
        <v>502</v>
      </c>
      <c r="E352" s="9">
        <f>Source!AU275</f>
        <v>10</v>
      </c>
      <c r="F352" s="22"/>
      <c r="G352" s="21"/>
      <c r="H352" s="9"/>
      <c r="I352" s="9"/>
      <c r="J352" s="22">
        <f>SUM(T346:T351)</f>
        <v>312</v>
      </c>
      <c r="K352" s="22"/>
    </row>
    <row r="353" spans="1:22" ht="14.25" x14ac:dyDescent="0.2">
      <c r="A353" s="19"/>
      <c r="B353" s="19"/>
      <c r="C353" s="19" t="s">
        <v>509</v>
      </c>
      <c r="D353" s="20" t="s">
        <v>502</v>
      </c>
      <c r="E353" s="9">
        <f>108</f>
        <v>108</v>
      </c>
      <c r="F353" s="22"/>
      <c r="G353" s="21"/>
      <c r="H353" s="9"/>
      <c r="I353" s="9"/>
      <c r="J353" s="22">
        <f>SUM(V346:V352)</f>
        <v>803.03</v>
      </c>
      <c r="K353" s="22"/>
    </row>
    <row r="354" spans="1:22" ht="14.25" x14ac:dyDescent="0.2">
      <c r="A354" s="19"/>
      <c r="B354" s="19"/>
      <c r="C354" s="19" t="s">
        <v>504</v>
      </c>
      <c r="D354" s="20" t="s">
        <v>505</v>
      </c>
      <c r="E354" s="9">
        <f>Source!AQ275</f>
        <v>0.37</v>
      </c>
      <c r="F354" s="22"/>
      <c r="G354" s="21" t="str">
        <f>Source!DI275</f>
        <v/>
      </c>
      <c r="H354" s="9">
        <f>Source!AV275</f>
        <v>1</v>
      </c>
      <c r="I354" s="9"/>
      <c r="J354" s="22"/>
      <c r="K354" s="22">
        <f>Source!U275</f>
        <v>5.55</v>
      </c>
    </row>
    <row r="355" spans="1:22" ht="15" x14ac:dyDescent="0.25">
      <c r="A355" s="25"/>
      <c r="B355" s="25"/>
      <c r="C355" s="25"/>
      <c r="D355" s="25"/>
      <c r="E355" s="25"/>
      <c r="F355" s="25"/>
      <c r="G355" s="25"/>
      <c r="H355" s="25"/>
      <c r="I355" s="52">
        <f>J348+J349+J351+J352+J353</f>
        <v>7591.73</v>
      </c>
      <c r="J355" s="52"/>
      <c r="K355" s="26">
        <f>IF(Source!I275&lt;&gt;0, ROUND(I355/Source!I275, 2), 0)</f>
        <v>506.12</v>
      </c>
      <c r="P355" s="24">
        <f>I355</f>
        <v>7591.73</v>
      </c>
    </row>
    <row r="356" spans="1:22" ht="28.5" x14ac:dyDescent="0.2">
      <c r="A356" s="19">
        <v>33</v>
      </c>
      <c r="B356" s="19" t="str">
        <f>Source!F276</f>
        <v>1.16-2203-1-1/1</v>
      </c>
      <c r="C356" s="19" t="str">
        <f>Source!G276</f>
        <v>Прочистка сифонов</v>
      </c>
      <c r="D356" s="20" t="str">
        <f>Source!H276</f>
        <v>100 шт.</v>
      </c>
      <c r="E356" s="9">
        <f>Source!I276</f>
        <v>0.15</v>
      </c>
      <c r="F356" s="22"/>
      <c r="G356" s="21"/>
      <c r="H356" s="9"/>
      <c r="I356" s="9"/>
      <c r="J356" s="22"/>
      <c r="K356" s="22"/>
      <c r="Q356">
        <f>ROUND((Source!BZ276/100)*ROUND((Source!AF276*Source!AV276)*Source!I276, 2), 2)</f>
        <v>5964.81</v>
      </c>
      <c r="R356">
        <f>Source!X276</f>
        <v>5964.81</v>
      </c>
      <c r="S356">
        <f>ROUND((Source!CA276/100)*ROUND((Source!AF276*Source!AV276)*Source!I276, 2), 2)</f>
        <v>852.12</v>
      </c>
      <c r="T356">
        <f>Source!Y276</f>
        <v>852.12</v>
      </c>
      <c r="U356">
        <f>ROUND((175/100)*ROUND((Source!AE276*Source!AV276)*Source!I276, 2), 2)</f>
        <v>0</v>
      </c>
      <c r="V356">
        <f>ROUND((108/100)*ROUND(Source!CS276*Source!I276, 2), 2)</f>
        <v>0</v>
      </c>
    </row>
    <row r="357" spans="1:22" x14ac:dyDescent="0.2">
      <c r="C357" s="23" t="str">
        <f>"Объем: "&amp;Source!I276&amp;"=(15)*"&amp;"1/"&amp;"100"</f>
        <v>Объем: 0,15=(15)*1/100</v>
      </c>
    </row>
    <row r="358" spans="1:22" ht="14.25" x14ac:dyDescent="0.2">
      <c r="A358" s="19"/>
      <c r="B358" s="19"/>
      <c r="C358" s="19" t="s">
        <v>500</v>
      </c>
      <c r="D358" s="20"/>
      <c r="E358" s="9"/>
      <c r="F358" s="22">
        <f>Source!AO276</f>
        <v>14201.94</v>
      </c>
      <c r="G358" s="21" t="str">
        <f>Source!DG276</f>
        <v>)*4</v>
      </c>
      <c r="H358" s="9">
        <f>Source!AV276</f>
        <v>1</v>
      </c>
      <c r="I358" s="9">
        <f>IF(Source!BA276&lt;&gt; 0, Source!BA276, 1)</f>
        <v>1</v>
      </c>
      <c r="J358" s="22">
        <f>Source!S276</f>
        <v>8521.16</v>
      </c>
      <c r="K358" s="22"/>
    </row>
    <row r="359" spans="1:22" ht="14.25" x14ac:dyDescent="0.2">
      <c r="A359" s="19"/>
      <c r="B359" s="19"/>
      <c r="C359" s="19" t="s">
        <v>508</v>
      </c>
      <c r="D359" s="20"/>
      <c r="E359" s="9"/>
      <c r="F359" s="22">
        <f>Source!AL276</f>
        <v>243.57</v>
      </c>
      <c r="G359" s="21" t="str">
        <f>Source!DD276</f>
        <v>)*4</v>
      </c>
      <c r="H359" s="9">
        <f>Source!AW276</f>
        <v>1</v>
      </c>
      <c r="I359" s="9">
        <f>IF(Source!BC276&lt;&gt; 0, Source!BC276, 1)</f>
        <v>1</v>
      </c>
      <c r="J359" s="22">
        <f>Source!P276</f>
        <v>146.13999999999999</v>
      </c>
      <c r="K359" s="22"/>
    </row>
    <row r="360" spans="1:22" ht="14.25" x14ac:dyDescent="0.2">
      <c r="A360" s="19"/>
      <c r="B360" s="19"/>
      <c r="C360" s="19" t="s">
        <v>501</v>
      </c>
      <c r="D360" s="20" t="s">
        <v>502</v>
      </c>
      <c r="E360" s="9">
        <f>Source!AT276</f>
        <v>70</v>
      </c>
      <c r="F360" s="22"/>
      <c r="G360" s="21"/>
      <c r="H360" s="9"/>
      <c r="I360" s="9"/>
      <c r="J360" s="22">
        <f>SUM(R356:R359)</f>
        <v>5964.81</v>
      </c>
      <c r="K360" s="22"/>
    </row>
    <row r="361" spans="1:22" ht="14.25" x14ac:dyDescent="0.2">
      <c r="A361" s="19"/>
      <c r="B361" s="19"/>
      <c r="C361" s="19" t="s">
        <v>503</v>
      </c>
      <c r="D361" s="20" t="s">
        <v>502</v>
      </c>
      <c r="E361" s="9">
        <f>Source!AU276</f>
        <v>10</v>
      </c>
      <c r="F361" s="22"/>
      <c r="G361" s="21"/>
      <c r="H361" s="9"/>
      <c r="I361" s="9"/>
      <c r="J361" s="22">
        <f>SUM(T356:T360)</f>
        <v>852.12</v>
      </c>
      <c r="K361" s="22"/>
    </row>
    <row r="362" spans="1:22" ht="14.25" x14ac:dyDescent="0.2">
      <c r="A362" s="19"/>
      <c r="B362" s="19"/>
      <c r="C362" s="19" t="s">
        <v>504</v>
      </c>
      <c r="D362" s="20" t="s">
        <v>505</v>
      </c>
      <c r="E362" s="9">
        <f>Source!AQ276</f>
        <v>28.02</v>
      </c>
      <c r="F362" s="22"/>
      <c r="G362" s="21" t="str">
        <f>Source!DI276</f>
        <v>)*4</v>
      </c>
      <c r="H362" s="9">
        <f>Source!AV276</f>
        <v>1</v>
      </c>
      <c r="I362" s="9"/>
      <c r="J362" s="22"/>
      <c r="K362" s="22">
        <f>Source!U276</f>
        <v>16.811999999999998</v>
      </c>
    </row>
    <row r="363" spans="1:22" ht="15" x14ac:dyDescent="0.25">
      <c r="A363" s="25"/>
      <c r="B363" s="25"/>
      <c r="C363" s="25"/>
      <c r="D363" s="25"/>
      <c r="E363" s="25"/>
      <c r="F363" s="25"/>
      <c r="G363" s="25"/>
      <c r="H363" s="25"/>
      <c r="I363" s="52">
        <f>J358+J359+J360+J361</f>
        <v>15484.230000000001</v>
      </c>
      <c r="J363" s="52"/>
      <c r="K363" s="26">
        <f>IF(Source!I276&lt;&gt;0, ROUND(I363/Source!I276, 2), 0)</f>
        <v>103228.2</v>
      </c>
      <c r="P363" s="24">
        <f>I363</f>
        <v>15484.230000000001</v>
      </c>
    </row>
    <row r="364" spans="1:22" ht="42.75" x14ac:dyDescent="0.2">
      <c r="A364" s="19">
        <v>34</v>
      </c>
      <c r="B364" s="19" t="str">
        <f>Source!F277</f>
        <v>1.23-2103-41-1/1</v>
      </c>
      <c r="C364" s="19" t="str">
        <f>Source!G277</f>
        <v>Техническое обслуживание регулирующего клапана / Смеситель для раковины / для зоны кухни</v>
      </c>
      <c r="D364" s="20" t="str">
        <f>Source!H277</f>
        <v>шт.</v>
      </c>
      <c r="E364" s="9">
        <f>Source!I277</f>
        <v>15</v>
      </c>
      <c r="F364" s="22"/>
      <c r="G364" s="21"/>
      <c r="H364" s="9"/>
      <c r="I364" s="9"/>
      <c r="J364" s="22"/>
      <c r="K364" s="22"/>
      <c r="Q364">
        <f>ROUND((Source!BZ277/100)*ROUND((Source!AF277*Source!AV277)*Source!I277, 2), 2)</f>
        <v>2184</v>
      </c>
      <c r="R364">
        <f>Source!X277</f>
        <v>2184</v>
      </c>
      <c r="S364">
        <f>ROUND((Source!CA277/100)*ROUND((Source!AF277*Source!AV277)*Source!I277, 2), 2)</f>
        <v>312</v>
      </c>
      <c r="T364">
        <f>Source!Y277</f>
        <v>312</v>
      </c>
      <c r="U364">
        <f>ROUND((175/100)*ROUND((Source!AE277*Source!AV277)*Source!I277, 2), 2)</f>
        <v>1301.21</v>
      </c>
      <c r="V364">
        <f>ROUND((108/100)*ROUND(Source!CS277*Source!I277, 2), 2)</f>
        <v>803.03</v>
      </c>
    </row>
    <row r="365" spans="1:22" x14ac:dyDescent="0.2">
      <c r="C365" s="23" t="str">
        <f>"Объем: "&amp;Source!I277&amp;"=(15)*"&amp;"1"</f>
        <v>Объем: 15=(15)*1</v>
      </c>
    </row>
    <row r="366" spans="1:22" ht="14.25" x14ac:dyDescent="0.2">
      <c r="A366" s="19"/>
      <c r="B366" s="19"/>
      <c r="C366" s="19" t="s">
        <v>500</v>
      </c>
      <c r="D366" s="20"/>
      <c r="E366" s="9"/>
      <c r="F366" s="22">
        <f>Source!AO277</f>
        <v>208</v>
      </c>
      <c r="G366" s="21" t="str">
        <f>Source!DG277</f>
        <v/>
      </c>
      <c r="H366" s="9">
        <f>Source!AV277</f>
        <v>1</v>
      </c>
      <c r="I366" s="9">
        <f>IF(Source!BA277&lt;&gt; 0, Source!BA277, 1)</f>
        <v>1</v>
      </c>
      <c r="J366" s="22">
        <f>Source!S277</f>
        <v>3120</v>
      </c>
      <c r="K366" s="22"/>
    </row>
    <row r="367" spans="1:22" ht="14.25" x14ac:dyDescent="0.2">
      <c r="A367" s="19"/>
      <c r="B367" s="19"/>
      <c r="C367" s="19" t="s">
        <v>506</v>
      </c>
      <c r="D367" s="20"/>
      <c r="E367" s="9"/>
      <c r="F367" s="22">
        <f>Source!AM277</f>
        <v>78.180000000000007</v>
      </c>
      <c r="G367" s="21" t="str">
        <f>Source!DE277</f>
        <v/>
      </c>
      <c r="H367" s="9">
        <f>Source!AV277</f>
        <v>1</v>
      </c>
      <c r="I367" s="9">
        <f>IF(Source!BB277&lt;&gt; 0, Source!BB277, 1)</f>
        <v>1</v>
      </c>
      <c r="J367" s="22">
        <f>Source!Q277</f>
        <v>1172.7</v>
      </c>
      <c r="K367" s="22"/>
    </row>
    <row r="368" spans="1:22" ht="14.25" x14ac:dyDescent="0.2">
      <c r="A368" s="19"/>
      <c r="B368" s="19"/>
      <c r="C368" s="19" t="s">
        <v>507</v>
      </c>
      <c r="D368" s="20"/>
      <c r="E368" s="9"/>
      <c r="F368" s="22">
        <f>Source!AN277</f>
        <v>49.57</v>
      </c>
      <c r="G368" s="21" t="str">
        <f>Source!DF277</f>
        <v/>
      </c>
      <c r="H368" s="9">
        <f>Source!AV277</f>
        <v>1</v>
      </c>
      <c r="I368" s="9">
        <f>IF(Source!BS277&lt;&gt; 0, Source!BS277, 1)</f>
        <v>1</v>
      </c>
      <c r="J368" s="27">
        <f>Source!R277</f>
        <v>743.55</v>
      </c>
      <c r="K368" s="22"/>
    </row>
    <row r="369" spans="1:22" ht="14.25" x14ac:dyDescent="0.2">
      <c r="A369" s="19"/>
      <c r="B369" s="19"/>
      <c r="C369" s="19" t="s">
        <v>501</v>
      </c>
      <c r="D369" s="20" t="s">
        <v>502</v>
      </c>
      <c r="E369" s="9">
        <f>Source!AT277</f>
        <v>70</v>
      </c>
      <c r="F369" s="22"/>
      <c r="G369" s="21"/>
      <c r="H369" s="9"/>
      <c r="I369" s="9"/>
      <c r="J369" s="22">
        <f>SUM(R364:R368)</f>
        <v>2184</v>
      </c>
      <c r="K369" s="22"/>
    </row>
    <row r="370" spans="1:22" ht="14.25" x14ac:dyDescent="0.2">
      <c r="A370" s="19"/>
      <c r="B370" s="19"/>
      <c r="C370" s="19" t="s">
        <v>503</v>
      </c>
      <c r="D370" s="20" t="s">
        <v>502</v>
      </c>
      <c r="E370" s="9">
        <f>Source!AU277</f>
        <v>10</v>
      </c>
      <c r="F370" s="22"/>
      <c r="G370" s="21"/>
      <c r="H370" s="9"/>
      <c r="I370" s="9"/>
      <c r="J370" s="22">
        <f>SUM(T364:T369)</f>
        <v>312</v>
      </c>
      <c r="K370" s="22"/>
    </row>
    <row r="371" spans="1:22" ht="14.25" x14ac:dyDescent="0.2">
      <c r="A371" s="19"/>
      <c r="B371" s="19"/>
      <c r="C371" s="19" t="s">
        <v>509</v>
      </c>
      <c r="D371" s="20" t="s">
        <v>502</v>
      </c>
      <c r="E371" s="9">
        <f>108</f>
        <v>108</v>
      </c>
      <c r="F371" s="22"/>
      <c r="G371" s="21"/>
      <c r="H371" s="9"/>
      <c r="I371" s="9"/>
      <c r="J371" s="22">
        <f>SUM(V364:V370)</f>
        <v>803.03</v>
      </c>
      <c r="K371" s="22"/>
    </row>
    <row r="372" spans="1:22" ht="14.25" x14ac:dyDescent="0.2">
      <c r="A372" s="19"/>
      <c r="B372" s="19"/>
      <c r="C372" s="19" t="s">
        <v>504</v>
      </c>
      <c r="D372" s="20" t="s">
        <v>505</v>
      </c>
      <c r="E372" s="9">
        <f>Source!AQ277</f>
        <v>0.37</v>
      </c>
      <c r="F372" s="22"/>
      <c r="G372" s="21" t="str">
        <f>Source!DI277</f>
        <v/>
      </c>
      <c r="H372" s="9">
        <f>Source!AV277</f>
        <v>1</v>
      </c>
      <c r="I372" s="9"/>
      <c r="J372" s="22"/>
      <c r="K372" s="22">
        <f>Source!U277</f>
        <v>5.55</v>
      </c>
    </row>
    <row r="373" spans="1:22" ht="15" x14ac:dyDescent="0.25">
      <c r="A373" s="25"/>
      <c r="B373" s="25"/>
      <c r="C373" s="25"/>
      <c r="D373" s="25"/>
      <c r="E373" s="25"/>
      <c r="F373" s="25"/>
      <c r="G373" s="25"/>
      <c r="H373" s="25"/>
      <c r="I373" s="52">
        <f>J366+J367+J369+J370+J371</f>
        <v>7591.73</v>
      </c>
      <c r="J373" s="52"/>
      <c r="K373" s="26">
        <f>IF(Source!I277&lt;&gt;0, ROUND(I373/Source!I277, 2), 0)</f>
        <v>506.12</v>
      </c>
      <c r="P373" s="24">
        <f>I373</f>
        <v>7591.73</v>
      </c>
    </row>
    <row r="374" spans="1:22" ht="28.5" x14ac:dyDescent="0.2">
      <c r="A374" s="19">
        <v>35</v>
      </c>
      <c r="B374" s="19" t="str">
        <f>Source!F278</f>
        <v>1.16-2203-1-1/1</v>
      </c>
      <c r="C374" s="19" t="str">
        <f>Source!G278</f>
        <v>Прочистка сифонов / для зоны кухни</v>
      </c>
      <c r="D374" s="20" t="str">
        <f>Source!H278</f>
        <v>100 шт.</v>
      </c>
      <c r="E374" s="9">
        <f>Source!I278</f>
        <v>0.15</v>
      </c>
      <c r="F374" s="22"/>
      <c r="G374" s="21"/>
      <c r="H374" s="9"/>
      <c r="I374" s="9"/>
      <c r="J374" s="22"/>
      <c r="K374" s="22"/>
      <c r="Q374">
        <f>ROUND((Source!BZ278/100)*ROUND((Source!AF278*Source!AV278)*Source!I278, 2), 2)</f>
        <v>5964.81</v>
      </c>
      <c r="R374">
        <f>Source!X278</f>
        <v>5964.81</v>
      </c>
      <c r="S374">
        <f>ROUND((Source!CA278/100)*ROUND((Source!AF278*Source!AV278)*Source!I278, 2), 2)</f>
        <v>852.12</v>
      </c>
      <c r="T374">
        <f>Source!Y278</f>
        <v>852.12</v>
      </c>
      <c r="U374">
        <f>ROUND((175/100)*ROUND((Source!AE278*Source!AV278)*Source!I278, 2), 2)</f>
        <v>0</v>
      </c>
      <c r="V374">
        <f>ROUND((108/100)*ROUND(Source!CS278*Source!I278, 2), 2)</f>
        <v>0</v>
      </c>
    </row>
    <row r="375" spans="1:22" x14ac:dyDescent="0.2">
      <c r="C375" s="23" t="str">
        <f>"Объем: "&amp;Source!I278&amp;"=(15)*"&amp;"1/"&amp;"100"</f>
        <v>Объем: 0,15=(15)*1/100</v>
      </c>
    </row>
    <row r="376" spans="1:22" ht="14.25" x14ac:dyDescent="0.2">
      <c r="A376" s="19"/>
      <c r="B376" s="19"/>
      <c r="C376" s="19" t="s">
        <v>500</v>
      </c>
      <c r="D376" s="20"/>
      <c r="E376" s="9"/>
      <c r="F376" s="22">
        <f>Source!AO278</f>
        <v>14201.94</v>
      </c>
      <c r="G376" s="21" t="str">
        <f>Source!DG278</f>
        <v>)*4</v>
      </c>
      <c r="H376" s="9">
        <f>Source!AV278</f>
        <v>1</v>
      </c>
      <c r="I376" s="9">
        <f>IF(Source!BA278&lt;&gt; 0, Source!BA278, 1)</f>
        <v>1</v>
      </c>
      <c r="J376" s="22">
        <f>Source!S278</f>
        <v>8521.16</v>
      </c>
      <c r="K376" s="22"/>
    </row>
    <row r="377" spans="1:22" ht="14.25" x14ac:dyDescent="0.2">
      <c r="A377" s="19"/>
      <c r="B377" s="19"/>
      <c r="C377" s="19" t="s">
        <v>508</v>
      </c>
      <c r="D377" s="20"/>
      <c r="E377" s="9"/>
      <c r="F377" s="22">
        <f>Source!AL278</f>
        <v>243.57</v>
      </c>
      <c r="G377" s="21" t="str">
        <f>Source!DD278</f>
        <v>)*4</v>
      </c>
      <c r="H377" s="9">
        <f>Source!AW278</f>
        <v>1</v>
      </c>
      <c r="I377" s="9">
        <f>IF(Source!BC278&lt;&gt; 0, Source!BC278, 1)</f>
        <v>1</v>
      </c>
      <c r="J377" s="22">
        <f>Source!P278</f>
        <v>146.13999999999999</v>
      </c>
      <c r="K377" s="22"/>
    </row>
    <row r="378" spans="1:22" ht="14.25" x14ac:dyDescent="0.2">
      <c r="A378" s="19"/>
      <c r="B378" s="19"/>
      <c r="C378" s="19" t="s">
        <v>501</v>
      </c>
      <c r="D378" s="20" t="s">
        <v>502</v>
      </c>
      <c r="E378" s="9">
        <f>Source!AT278</f>
        <v>70</v>
      </c>
      <c r="F378" s="22"/>
      <c r="G378" s="21"/>
      <c r="H378" s="9"/>
      <c r="I378" s="9"/>
      <c r="J378" s="22">
        <f>SUM(R374:R377)</f>
        <v>5964.81</v>
      </c>
      <c r="K378" s="22"/>
    </row>
    <row r="379" spans="1:22" ht="14.25" x14ac:dyDescent="0.2">
      <c r="A379" s="19"/>
      <c r="B379" s="19"/>
      <c r="C379" s="19" t="s">
        <v>503</v>
      </c>
      <c r="D379" s="20" t="s">
        <v>502</v>
      </c>
      <c r="E379" s="9">
        <f>Source!AU278</f>
        <v>10</v>
      </c>
      <c r="F379" s="22"/>
      <c r="G379" s="21"/>
      <c r="H379" s="9"/>
      <c r="I379" s="9"/>
      <c r="J379" s="22">
        <f>SUM(T374:T378)</f>
        <v>852.12</v>
      </c>
      <c r="K379" s="22"/>
    </row>
    <row r="380" spans="1:22" ht="14.25" x14ac:dyDescent="0.2">
      <c r="A380" s="19"/>
      <c r="B380" s="19"/>
      <c r="C380" s="19" t="s">
        <v>504</v>
      </c>
      <c r="D380" s="20" t="s">
        <v>505</v>
      </c>
      <c r="E380" s="9">
        <f>Source!AQ278</f>
        <v>28.02</v>
      </c>
      <c r="F380" s="22"/>
      <c r="G380" s="21" t="str">
        <f>Source!DI278</f>
        <v>)*4</v>
      </c>
      <c r="H380" s="9">
        <f>Source!AV278</f>
        <v>1</v>
      </c>
      <c r="I380" s="9"/>
      <c r="J380" s="22"/>
      <c r="K380" s="22">
        <f>Source!U278</f>
        <v>16.811999999999998</v>
      </c>
    </row>
    <row r="381" spans="1:22" ht="15" x14ac:dyDescent="0.25">
      <c r="A381" s="25"/>
      <c r="B381" s="25"/>
      <c r="C381" s="25"/>
      <c r="D381" s="25"/>
      <c r="E381" s="25"/>
      <c r="F381" s="25"/>
      <c r="G381" s="25"/>
      <c r="H381" s="25"/>
      <c r="I381" s="52">
        <f>J376+J377+J378+J379</f>
        <v>15484.230000000001</v>
      </c>
      <c r="J381" s="52"/>
      <c r="K381" s="26">
        <f>IF(Source!I278&lt;&gt;0, ROUND(I381/Source!I278, 2), 0)</f>
        <v>103228.2</v>
      </c>
      <c r="P381" s="24">
        <f>I381</f>
        <v>15484.230000000001</v>
      </c>
    </row>
    <row r="382" spans="1:22" ht="57" x14ac:dyDescent="0.2">
      <c r="A382" s="19">
        <v>36</v>
      </c>
      <c r="B382" s="19" t="str">
        <f>Source!F280</f>
        <v>1.23-2103-41-1/1</v>
      </c>
      <c r="C382" s="19" t="str">
        <f>Source!G280</f>
        <v>Техническое обслуживание регулирующего клапана / Смеситель душевой с лейкой с тропическим душем</v>
      </c>
      <c r="D382" s="20" t="str">
        <f>Source!H280</f>
        <v>шт.</v>
      </c>
      <c r="E382" s="9">
        <f>Source!I280</f>
        <v>15</v>
      </c>
      <c r="F382" s="22"/>
      <c r="G382" s="21"/>
      <c r="H382" s="9"/>
      <c r="I382" s="9"/>
      <c r="J382" s="22"/>
      <c r="K382" s="22"/>
      <c r="Q382">
        <f>ROUND((Source!BZ280/100)*ROUND((Source!AF280*Source!AV280)*Source!I280, 2), 2)</f>
        <v>2184</v>
      </c>
      <c r="R382">
        <f>Source!X280</f>
        <v>2184</v>
      </c>
      <c r="S382">
        <f>ROUND((Source!CA280/100)*ROUND((Source!AF280*Source!AV280)*Source!I280, 2), 2)</f>
        <v>312</v>
      </c>
      <c r="T382">
        <f>Source!Y280</f>
        <v>312</v>
      </c>
      <c r="U382">
        <f>ROUND((175/100)*ROUND((Source!AE280*Source!AV280)*Source!I280, 2), 2)</f>
        <v>1301.21</v>
      </c>
      <c r="V382">
        <f>ROUND((108/100)*ROUND(Source!CS280*Source!I280, 2), 2)</f>
        <v>803.03</v>
      </c>
    </row>
    <row r="383" spans="1:22" x14ac:dyDescent="0.2">
      <c r="C383" s="23" t="str">
        <f>"Объем: "&amp;Source!I280&amp;"=(1)*"&amp;"15"</f>
        <v>Объем: 15=(1)*15</v>
      </c>
    </row>
    <row r="384" spans="1:22" ht="14.25" x14ac:dyDescent="0.2">
      <c r="A384" s="19"/>
      <c r="B384" s="19"/>
      <c r="C384" s="19" t="s">
        <v>500</v>
      </c>
      <c r="D384" s="20"/>
      <c r="E384" s="9"/>
      <c r="F384" s="22">
        <f>Source!AO280</f>
        <v>208</v>
      </c>
      <c r="G384" s="21" t="str">
        <f>Source!DG280</f>
        <v/>
      </c>
      <c r="H384" s="9">
        <f>Source!AV280</f>
        <v>1</v>
      </c>
      <c r="I384" s="9">
        <f>IF(Source!BA280&lt;&gt; 0, Source!BA280, 1)</f>
        <v>1</v>
      </c>
      <c r="J384" s="22">
        <f>Source!S280</f>
        <v>3120</v>
      </c>
      <c r="K384" s="22"/>
    </row>
    <row r="385" spans="1:22" ht="14.25" x14ac:dyDescent="0.2">
      <c r="A385" s="19"/>
      <c r="B385" s="19"/>
      <c r="C385" s="19" t="s">
        <v>506</v>
      </c>
      <c r="D385" s="20"/>
      <c r="E385" s="9"/>
      <c r="F385" s="22">
        <f>Source!AM280</f>
        <v>78.180000000000007</v>
      </c>
      <c r="G385" s="21" t="str">
        <f>Source!DE280</f>
        <v/>
      </c>
      <c r="H385" s="9">
        <f>Source!AV280</f>
        <v>1</v>
      </c>
      <c r="I385" s="9">
        <f>IF(Source!BB280&lt;&gt; 0, Source!BB280, 1)</f>
        <v>1</v>
      </c>
      <c r="J385" s="22">
        <f>Source!Q280</f>
        <v>1172.7</v>
      </c>
      <c r="K385" s="22"/>
    </row>
    <row r="386" spans="1:22" ht="14.25" x14ac:dyDescent="0.2">
      <c r="A386" s="19"/>
      <c r="B386" s="19"/>
      <c r="C386" s="19" t="s">
        <v>507</v>
      </c>
      <c r="D386" s="20"/>
      <c r="E386" s="9"/>
      <c r="F386" s="22">
        <f>Source!AN280</f>
        <v>49.57</v>
      </c>
      <c r="G386" s="21" t="str">
        <f>Source!DF280</f>
        <v/>
      </c>
      <c r="H386" s="9">
        <f>Source!AV280</f>
        <v>1</v>
      </c>
      <c r="I386" s="9">
        <f>IF(Source!BS280&lt;&gt; 0, Source!BS280, 1)</f>
        <v>1</v>
      </c>
      <c r="J386" s="27">
        <f>Source!R280</f>
        <v>743.55</v>
      </c>
      <c r="K386" s="22"/>
    </row>
    <row r="387" spans="1:22" ht="14.25" x14ac:dyDescent="0.2">
      <c r="A387" s="19"/>
      <c r="B387" s="19"/>
      <c r="C387" s="19" t="s">
        <v>501</v>
      </c>
      <c r="D387" s="20" t="s">
        <v>502</v>
      </c>
      <c r="E387" s="9">
        <f>Source!AT280</f>
        <v>70</v>
      </c>
      <c r="F387" s="22"/>
      <c r="G387" s="21"/>
      <c r="H387" s="9"/>
      <c r="I387" s="9"/>
      <c r="J387" s="22">
        <f>SUM(R382:R386)</f>
        <v>2184</v>
      </c>
      <c r="K387" s="22"/>
    </row>
    <row r="388" spans="1:22" ht="14.25" x14ac:dyDescent="0.2">
      <c r="A388" s="19"/>
      <c r="B388" s="19"/>
      <c r="C388" s="19" t="s">
        <v>503</v>
      </c>
      <c r="D388" s="20" t="s">
        <v>502</v>
      </c>
      <c r="E388" s="9">
        <f>Source!AU280</f>
        <v>10</v>
      </c>
      <c r="F388" s="22"/>
      <c r="G388" s="21"/>
      <c r="H388" s="9"/>
      <c r="I388" s="9"/>
      <c r="J388" s="22">
        <f>SUM(T382:T387)</f>
        <v>312</v>
      </c>
      <c r="K388" s="22"/>
    </row>
    <row r="389" spans="1:22" ht="14.25" x14ac:dyDescent="0.2">
      <c r="A389" s="19"/>
      <c r="B389" s="19"/>
      <c r="C389" s="19" t="s">
        <v>509</v>
      </c>
      <c r="D389" s="20" t="s">
        <v>502</v>
      </c>
      <c r="E389" s="9">
        <f>108</f>
        <v>108</v>
      </c>
      <c r="F389" s="22"/>
      <c r="G389" s="21"/>
      <c r="H389" s="9"/>
      <c r="I389" s="9"/>
      <c r="J389" s="22">
        <f>SUM(V382:V388)</f>
        <v>803.03</v>
      </c>
      <c r="K389" s="22"/>
    </row>
    <row r="390" spans="1:22" ht="14.25" x14ac:dyDescent="0.2">
      <c r="A390" s="19"/>
      <c r="B390" s="19"/>
      <c r="C390" s="19" t="s">
        <v>504</v>
      </c>
      <c r="D390" s="20" t="s">
        <v>505</v>
      </c>
      <c r="E390" s="9">
        <f>Source!AQ280</f>
        <v>0.37</v>
      </c>
      <c r="F390" s="22"/>
      <c r="G390" s="21" t="str">
        <f>Source!DI280</f>
        <v/>
      </c>
      <c r="H390" s="9">
        <f>Source!AV280</f>
        <v>1</v>
      </c>
      <c r="I390" s="9"/>
      <c r="J390" s="22"/>
      <c r="K390" s="22">
        <f>Source!U280</f>
        <v>5.55</v>
      </c>
    </row>
    <row r="391" spans="1:22" ht="15" x14ac:dyDescent="0.25">
      <c r="A391" s="25"/>
      <c r="B391" s="25"/>
      <c r="C391" s="25"/>
      <c r="D391" s="25"/>
      <c r="E391" s="25"/>
      <c r="F391" s="25"/>
      <c r="G391" s="25"/>
      <c r="H391" s="25"/>
      <c r="I391" s="52">
        <f>J384+J385+J387+J388+J389</f>
        <v>7591.73</v>
      </c>
      <c r="J391" s="52"/>
      <c r="K391" s="26">
        <f>IF(Source!I280&lt;&gt;0, ROUND(I391/Source!I280, 2), 0)</f>
        <v>506.12</v>
      </c>
      <c r="P391" s="24">
        <f>I391</f>
        <v>7591.73</v>
      </c>
    </row>
    <row r="392" spans="1:22" ht="28.5" x14ac:dyDescent="0.2">
      <c r="A392" s="19">
        <v>37</v>
      </c>
      <c r="B392" s="19" t="str">
        <f>Source!F285</f>
        <v>1.15-2303-4-1/1</v>
      </c>
      <c r="C392" s="19" t="str">
        <f>Source!G285</f>
        <v>Прочистка сетчатых фильтров грубой очистки воды диаметром до 25 мм</v>
      </c>
      <c r="D392" s="20" t="str">
        <f>Source!H285</f>
        <v>10 шт.</v>
      </c>
      <c r="E392" s="9">
        <f>Source!I285</f>
        <v>1.5</v>
      </c>
      <c r="F392" s="22"/>
      <c r="G392" s="21"/>
      <c r="H392" s="9"/>
      <c r="I392" s="9"/>
      <c r="J392" s="22"/>
      <c r="K392" s="22"/>
      <c r="Q392">
        <f>ROUND((Source!BZ285/100)*ROUND((Source!AF285*Source!AV285)*Source!I285, 2), 2)</f>
        <v>2645.33</v>
      </c>
      <c r="R392">
        <f>Source!X285</f>
        <v>2645.33</v>
      </c>
      <c r="S392">
        <f>ROUND((Source!CA285/100)*ROUND((Source!AF285*Source!AV285)*Source!I285, 2), 2)</f>
        <v>377.9</v>
      </c>
      <c r="T392">
        <f>Source!Y285</f>
        <v>377.9</v>
      </c>
      <c r="U392">
        <f>ROUND((175/100)*ROUND((Source!AE285*Source!AV285)*Source!I285, 2), 2)</f>
        <v>0</v>
      </c>
      <c r="V392">
        <f>ROUND((108/100)*ROUND(Source!CS285*Source!I285, 2), 2)</f>
        <v>0</v>
      </c>
    </row>
    <row r="393" spans="1:22" x14ac:dyDescent="0.2">
      <c r="C393" s="23" t="str">
        <f>"Объем: "&amp;Source!I285&amp;"=15/"&amp;"10"</f>
        <v>Объем: 1,5=15/10</v>
      </c>
    </row>
    <row r="394" spans="1:22" ht="14.25" x14ac:dyDescent="0.2">
      <c r="A394" s="19"/>
      <c r="B394" s="19"/>
      <c r="C394" s="19" t="s">
        <v>500</v>
      </c>
      <c r="D394" s="20"/>
      <c r="E394" s="9"/>
      <c r="F394" s="22">
        <f>Source!AO285</f>
        <v>1259.68</v>
      </c>
      <c r="G394" s="21" t="str">
        <f>Source!DG285</f>
        <v>)*2</v>
      </c>
      <c r="H394" s="9">
        <f>Source!AV285</f>
        <v>1</v>
      </c>
      <c r="I394" s="9">
        <f>IF(Source!BA285&lt;&gt; 0, Source!BA285, 1)</f>
        <v>1</v>
      </c>
      <c r="J394" s="22">
        <f>Source!S285</f>
        <v>3779.04</v>
      </c>
      <c r="K394" s="22"/>
    </row>
    <row r="395" spans="1:22" ht="14.25" x14ac:dyDescent="0.2">
      <c r="A395" s="19"/>
      <c r="B395" s="19"/>
      <c r="C395" s="19" t="s">
        <v>501</v>
      </c>
      <c r="D395" s="20" t="s">
        <v>502</v>
      </c>
      <c r="E395" s="9">
        <f>Source!AT285</f>
        <v>70</v>
      </c>
      <c r="F395" s="22"/>
      <c r="G395" s="21"/>
      <c r="H395" s="9"/>
      <c r="I395" s="9"/>
      <c r="J395" s="22">
        <f>SUM(R392:R394)</f>
        <v>2645.33</v>
      </c>
      <c r="K395" s="22"/>
    </row>
    <row r="396" spans="1:22" ht="14.25" x14ac:dyDescent="0.2">
      <c r="A396" s="19"/>
      <c r="B396" s="19"/>
      <c r="C396" s="19" t="s">
        <v>503</v>
      </c>
      <c r="D396" s="20" t="s">
        <v>502</v>
      </c>
      <c r="E396" s="9">
        <f>Source!AU285</f>
        <v>10</v>
      </c>
      <c r="F396" s="22"/>
      <c r="G396" s="21"/>
      <c r="H396" s="9"/>
      <c r="I396" s="9"/>
      <c r="J396" s="22">
        <f>SUM(T392:T395)</f>
        <v>377.9</v>
      </c>
      <c r="K396" s="22"/>
    </row>
    <row r="397" spans="1:22" ht="14.25" x14ac:dyDescent="0.2">
      <c r="A397" s="19"/>
      <c r="B397" s="19"/>
      <c r="C397" s="19" t="s">
        <v>504</v>
      </c>
      <c r="D397" s="20" t="s">
        <v>505</v>
      </c>
      <c r="E397" s="9">
        <f>Source!AQ285</f>
        <v>2.04</v>
      </c>
      <c r="F397" s="22"/>
      <c r="G397" s="21" t="str">
        <f>Source!DI285</f>
        <v>)*2</v>
      </c>
      <c r="H397" s="9">
        <f>Source!AV285</f>
        <v>1</v>
      </c>
      <c r="I397" s="9"/>
      <c r="J397" s="22"/>
      <c r="K397" s="22">
        <f>Source!U285</f>
        <v>6.12</v>
      </c>
    </row>
    <row r="398" spans="1:22" ht="15" x14ac:dyDescent="0.25">
      <c r="A398" s="25"/>
      <c r="B398" s="25"/>
      <c r="C398" s="25"/>
      <c r="D398" s="25"/>
      <c r="E398" s="25"/>
      <c r="F398" s="25"/>
      <c r="G398" s="25"/>
      <c r="H398" s="25"/>
      <c r="I398" s="52">
        <f>J394+J395+J396</f>
        <v>6802.2699999999995</v>
      </c>
      <c r="J398" s="52"/>
      <c r="K398" s="26">
        <f>IF(Source!I285&lt;&gt;0, ROUND(I398/Source!I285, 2), 0)</f>
        <v>4534.8500000000004</v>
      </c>
      <c r="P398" s="24">
        <f>I398</f>
        <v>6802.2699999999995</v>
      </c>
    </row>
    <row r="399" spans="1:22" ht="42.75" x14ac:dyDescent="0.2">
      <c r="A399" s="19">
        <v>38</v>
      </c>
      <c r="B399" s="19" t="str">
        <f>Source!F286</f>
        <v>1.23-2103-41-1/1</v>
      </c>
      <c r="C399" s="19" t="str">
        <f>Source!G286</f>
        <v>Техническое обслуживание регулирующего клапана/ прим. Клапан предохранительный ДУ 15</v>
      </c>
      <c r="D399" s="20" t="str">
        <f>Source!H286</f>
        <v>шт.</v>
      </c>
      <c r="E399" s="9">
        <f>Source!I286</f>
        <v>15</v>
      </c>
      <c r="F399" s="22"/>
      <c r="G399" s="21"/>
      <c r="H399" s="9"/>
      <c r="I399" s="9"/>
      <c r="J399" s="22"/>
      <c r="K399" s="22"/>
      <c r="Q399">
        <f>ROUND((Source!BZ286/100)*ROUND((Source!AF286*Source!AV286)*Source!I286, 2), 2)</f>
        <v>4368</v>
      </c>
      <c r="R399">
        <f>Source!X286</f>
        <v>4368</v>
      </c>
      <c r="S399">
        <f>ROUND((Source!CA286/100)*ROUND((Source!AF286*Source!AV286)*Source!I286, 2), 2)</f>
        <v>624</v>
      </c>
      <c r="T399">
        <f>Source!Y286</f>
        <v>624</v>
      </c>
      <c r="U399">
        <f>ROUND((175/100)*ROUND((Source!AE286*Source!AV286)*Source!I286, 2), 2)</f>
        <v>2602.4299999999998</v>
      </c>
      <c r="V399">
        <f>ROUND((108/100)*ROUND(Source!CS286*Source!I286, 2), 2)</f>
        <v>1606.07</v>
      </c>
    </row>
    <row r="400" spans="1:22" x14ac:dyDescent="0.2">
      <c r="C400" s="23" t="str">
        <f>"Объем: "&amp;Source!I286&amp;"=1*"&amp;"15"</f>
        <v>Объем: 15=1*15</v>
      </c>
    </row>
    <row r="401" spans="1:22" ht="14.25" x14ac:dyDescent="0.2">
      <c r="A401" s="19"/>
      <c r="B401" s="19"/>
      <c r="C401" s="19" t="s">
        <v>500</v>
      </c>
      <c r="D401" s="20"/>
      <c r="E401" s="9"/>
      <c r="F401" s="22">
        <f>Source!AO286</f>
        <v>208</v>
      </c>
      <c r="G401" s="21" t="str">
        <f>Source!DG286</f>
        <v>)*2</v>
      </c>
      <c r="H401" s="9">
        <f>Source!AV286</f>
        <v>1</v>
      </c>
      <c r="I401" s="9">
        <f>IF(Source!BA286&lt;&gt; 0, Source!BA286, 1)</f>
        <v>1</v>
      </c>
      <c r="J401" s="22">
        <f>Source!S286</f>
        <v>6240</v>
      </c>
      <c r="K401" s="22"/>
    </row>
    <row r="402" spans="1:22" ht="14.25" x14ac:dyDescent="0.2">
      <c r="A402" s="19"/>
      <c r="B402" s="19"/>
      <c r="C402" s="19" t="s">
        <v>506</v>
      </c>
      <c r="D402" s="20"/>
      <c r="E402" s="9"/>
      <c r="F402" s="22">
        <f>Source!AM286</f>
        <v>78.180000000000007</v>
      </c>
      <c r="G402" s="21" t="str">
        <f>Source!DE286</f>
        <v>)*2</v>
      </c>
      <c r="H402" s="9">
        <f>Source!AV286</f>
        <v>1</v>
      </c>
      <c r="I402" s="9">
        <f>IF(Source!BB286&lt;&gt; 0, Source!BB286, 1)</f>
        <v>1</v>
      </c>
      <c r="J402" s="22">
        <f>Source!Q286</f>
        <v>2345.4</v>
      </c>
      <c r="K402" s="22"/>
    </row>
    <row r="403" spans="1:22" ht="14.25" x14ac:dyDescent="0.2">
      <c r="A403" s="19"/>
      <c r="B403" s="19"/>
      <c r="C403" s="19" t="s">
        <v>507</v>
      </c>
      <c r="D403" s="20"/>
      <c r="E403" s="9"/>
      <c r="F403" s="22">
        <f>Source!AN286</f>
        <v>49.57</v>
      </c>
      <c r="G403" s="21" t="str">
        <f>Source!DF286</f>
        <v>)*2</v>
      </c>
      <c r="H403" s="9">
        <f>Source!AV286</f>
        <v>1</v>
      </c>
      <c r="I403" s="9">
        <f>IF(Source!BS286&lt;&gt; 0, Source!BS286, 1)</f>
        <v>1</v>
      </c>
      <c r="J403" s="27">
        <f>Source!R286</f>
        <v>1487.1</v>
      </c>
      <c r="K403" s="22"/>
    </row>
    <row r="404" spans="1:22" ht="14.25" x14ac:dyDescent="0.2">
      <c r="A404" s="19"/>
      <c r="B404" s="19"/>
      <c r="C404" s="19" t="s">
        <v>501</v>
      </c>
      <c r="D404" s="20" t="s">
        <v>502</v>
      </c>
      <c r="E404" s="9">
        <f>Source!AT286</f>
        <v>70</v>
      </c>
      <c r="F404" s="22"/>
      <c r="G404" s="21"/>
      <c r="H404" s="9"/>
      <c r="I404" s="9"/>
      <c r="J404" s="22">
        <f>SUM(R399:R403)</f>
        <v>4368</v>
      </c>
      <c r="K404" s="22"/>
    </row>
    <row r="405" spans="1:22" ht="14.25" x14ac:dyDescent="0.2">
      <c r="A405" s="19"/>
      <c r="B405" s="19"/>
      <c r="C405" s="19" t="s">
        <v>503</v>
      </c>
      <c r="D405" s="20" t="s">
        <v>502</v>
      </c>
      <c r="E405" s="9">
        <f>Source!AU286</f>
        <v>10</v>
      </c>
      <c r="F405" s="22"/>
      <c r="G405" s="21"/>
      <c r="H405" s="9"/>
      <c r="I405" s="9"/>
      <c r="J405" s="22">
        <f>SUM(T399:T404)</f>
        <v>624</v>
      </c>
      <c r="K405" s="22"/>
    </row>
    <row r="406" spans="1:22" ht="14.25" x14ac:dyDescent="0.2">
      <c r="A406" s="19"/>
      <c r="B406" s="19"/>
      <c r="C406" s="19" t="s">
        <v>509</v>
      </c>
      <c r="D406" s="20" t="s">
        <v>502</v>
      </c>
      <c r="E406" s="9">
        <f>108</f>
        <v>108</v>
      </c>
      <c r="F406" s="22"/>
      <c r="G406" s="21"/>
      <c r="H406" s="9"/>
      <c r="I406" s="9"/>
      <c r="J406" s="22">
        <f>SUM(V399:V405)</f>
        <v>1606.07</v>
      </c>
      <c r="K406" s="22"/>
    </row>
    <row r="407" spans="1:22" ht="14.25" x14ac:dyDescent="0.2">
      <c r="A407" s="19"/>
      <c r="B407" s="19"/>
      <c r="C407" s="19" t="s">
        <v>504</v>
      </c>
      <c r="D407" s="20" t="s">
        <v>505</v>
      </c>
      <c r="E407" s="9">
        <f>Source!AQ286</f>
        <v>0.37</v>
      </c>
      <c r="F407" s="22"/>
      <c r="G407" s="21" t="str">
        <f>Source!DI286</f>
        <v>)*2</v>
      </c>
      <c r="H407" s="9">
        <f>Source!AV286</f>
        <v>1</v>
      </c>
      <c r="I407" s="9"/>
      <c r="J407" s="22"/>
      <c r="K407" s="22">
        <f>Source!U286</f>
        <v>11.1</v>
      </c>
    </row>
    <row r="408" spans="1:22" ht="15" x14ac:dyDescent="0.25">
      <c r="A408" s="25"/>
      <c r="B408" s="25"/>
      <c r="C408" s="25"/>
      <c r="D408" s="25"/>
      <c r="E408" s="25"/>
      <c r="F408" s="25"/>
      <c r="G408" s="25"/>
      <c r="H408" s="25"/>
      <c r="I408" s="52">
        <f>J401+J402+J404+J405+J406</f>
        <v>15183.47</v>
      </c>
      <c r="J408" s="52"/>
      <c r="K408" s="26">
        <f>IF(Source!I286&lt;&gt;0, ROUND(I408/Source!I286, 2), 0)</f>
        <v>1012.23</v>
      </c>
      <c r="P408" s="24">
        <f>I408</f>
        <v>15183.47</v>
      </c>
    </row>
    <row r="409" spans="1:22" ht="42.75" x14ac:dyDescent="0.2">
      <c r="A409" s="19">
        <v>39</v>
      </c>
      <c r="B409" s="19" t="str">
        <f>Source!F287</f>
        <v>1.15-2203-7-1/1</v>
      </c>
      <c r="C409" s="19" t="str">
        <f>Source!G287</f>
        <v>Техническое обслуживание крана шарового латунного никелированного диаметром до 25 мм прим. Ду 15</v>
      </c>
      <c r="D409" s="20" t="str">
        <f>Source!H287</f>
        <v>10 шт.</v>
      </c>
      <c r="E409" s="9">
        <f>Source!I287</f>
        <v>10.5</v>
      </c>
      <c r="F409" s="22"/>
      <c r="G409" s="21"/>
      <c r="H409" s="9"/>
      <c r="I409" s="9"/>
      <c r="J409" s="22"/>
      <c r="K409" s="22"/>
      <c r="Q409">
        <f>ROUND((Source!BZ287/100)*ROUND((Source!AF287*Source!AV287)*Source!I287, 2), 2)</f>
        <v>2042.35</v>
      </c>
      <c r="R409">
        <f>Source!X287</f>
        <v>2042.35</v>
      </c>
      <c r="S409">
        <f>ROUND((Source!CA287/100)*ROUND((Source!AF287*Source!AV287)*Source!I287, 2), 2)</f>
        <v>291.76</v>
      </c>
      <c r="T409">
        <f>Source!Y287</f>
        <v>291.76</v>
      </c>
      <c r="U409">
        <f>ROUND((175/100)*ROUND((Source!AE287*Source!AV287)*Source!I287, 2), 2)</f>
        <v>0</v>
      </c>
      <c r="V409">
        <f>ROUND((108/100)*ROUND(Source!CS287*Source!I287, 2), 2)</f>
        <v>0</v>
      </c>
    </row>
    <row r="410" spans="1:22" x14ac:dyDescent="0.2">
      <c r="C410" s="23" t="str">
        <f>"Объем: "&amp;Source!I287&amp;"=7*"&amp;"15/"&amp;"10"</f>
        <v>Объем: 10,5=7*15/10</v>
      </c>
    </row>
    <row r="411" spans="1:22" ht="14.25" x14ac:dyDescent="0.2">
      <c r="A411" s="19"/>
      <c r="B411" s="19"/>
      <c r="C411" s="19" t="s">
        <v>500</v>
      </c>
      <c r="D411" s="20"/>
      <c r="E411" s="9"/>
      <c r="F411" s="22">
        <f>Source!AO287</f>
        <v>277.87</v>
      </c>
      <c r="G411" s="21" t="str">
        <f>Source!DG287</f>
        <v/>
      </c>
      <c r="H411" s="9">
        <f>Source!AV287</f>
        <v>1</v>
      </c>
      <c r="I411" s="9">
        <f>IF(Source!BA287&lt;&gt; 0, Source!BA287, 1)</f>
        <v>1</v>
      </c>
      <c r="J411" s="22">
        <f>Source!S287</f>
        <v>2917.64</v>
      </c>
      <c r="K411" s="22"/>
    </row>
    <row r="412" spans="1:22" ht="14.25" x14ac:dyDescent="0.2">
      <c r="A412" s="19"/>
      <c r="B412" s="19"/>
      <c r="C412" s="19" t="s">
        <v>501</v>
      </c>
      <c r="D412" s="20" t="s">
        <v>502</v>
      </c>
      <c r="E412" s="9">
        <f>Source!AT287</f>
        <v>70</v>
      </c>
      <c r="F412" s="22"/>
      <c r="G412" s="21"/>
      <c r="H412" s="9"/>
      <c r="I412" s="9"/>
      <c r="J412" s="22">
        <f>SUM(R409:R411)</f>
        <v>2042.35</v>
      </c>
      <c r="K412" s="22"/>
    </row>
    <row r="413" spans="1:22" ht="14.25" x14ac:dyDescent="0.2">
      <c r="A413" s="19"/>
      <c r="B413" s="19"/>
      <c r="C413" s="19" t="s">
        <v>503</v>
      </c>
      <c r="D413" s="20" t="s">
        <v>502</v>
      </c>
      <c r="E413" s="9">
        <f>Source!AU287</f>
        <v>10</v>
      </c>
      <c r="F413" s="22"/>
      <c r="G413" s="21"/>
      <c r="H413" s="9"/>
      <c r="I413" s="9"/>
      <c r="J413" s="22">
        <f>SUM(T409:T412)</f>
        <v>291.76</v>
      </c>
      <c r="K413" s="22"/>
    </row>
    <row r="414" spans="1:22" ht="14.25" x14ac:dyDescent="0.2">
      <c r="A414" s="19"/>
      <c r="B414" s="19"/>
      <c r="C414" s="19" t="s">
        <v>504</v>
      </c>
      <c r="D414" s="20" t="s">
        <v>505</v>
      </c>
      <c r="E414" s="9">
        <f>Source!AQ287</f>
        <v>0.45</v>
      </c>
      <c r="F414" s="22"/>
      <c r="G414" s="21" t="str">
        <f>Source!DI287</f>
        <v/>
      </c>
      <c r="H414" s="9">
        <f>Source!AV287</f>
        <v>1</v>
      </c>
      <c r="I414" s="9"/>
      <c r="J414" s="22"/>
      <c r="K414" s="22">
        <f>Source!U287</f>
        <v>4.7250000000000005</v>
      </c>
    </row>
    <row r="415" spans="1:22" ht="15" x14ac:dyDescent="0.25">
      <c r="A415" s="25"/>
      <c r="B415" s="25"/>
      <c r="C415" s="25"/>
      <c r="D415" s="25"/>
      <c r="E415" s="25"/>
      <c r="F415" s="25"/>
      <c r="G415" s="25"/>
      <c r="H415" s="25"/>
      <c r="I415" s="52">
        <f>J411+J412+J413</f>
        <v>5251.75</v>
      </c>
      <c r="J415" s="52"/>
      <c r="K415" s="26">
        <f>IF(Source!I287&lt;&gt;0, ROUND(I415/Source!I287, 2), 0)</f>
        <v>500.17</v>
      </c>
      <c r="P415" s="24">
        <f>I415</f>
        <v>5251.75</v>
      </c>
    </row>
    <row r="416" spans="1:22" ht="42.75" x14ac:dyDescent="0.2">
      <c r="A416" s="19">
        <v>40</v>
      </c>
      <c r="B416" s="19" t="str">
        <f>Source!F288</f>
        <v>1.21-2303-24-1/1</v>
      </c>
      <c r="C416" s="19" t="str">
        <f>Source!G288</f>
        <v>Техническое обслуживание электроводонагревателей объемом до 80 литров</v>
      </c>
      <c r="D416" s="20" t="str">
        <f>Source!H288</f>
        <v>шт.</v>
      </c>
      <c r="E416" s="9">
        <f>Source!I288</f>
        <v>15</v>
      </c>
      <c r="F416" s="22"/>
      <c r="G416" s="21"/>
      <c r="H416" s="9"/>
      <c r="I416" s="9"/>
      <c r="J416" s="22"/>
      <c r="K416" s="22"/>
      <c r="Q416">
        <f>ROUND((Source!BZ288/100)*ROUND((Source!AF288*Source!AV288)*Source!I288, 2), 2)</f>
        <v>13062.32</v>
      </c>
      <c r="R416">
        <f>Source!X288</f>
        <v>13062.32</v>
      </c>
      <c r="S416">
        <f>ROUND((Source!CA288/100)*ROUND((Source!AF288*Source!AV288)*Source!I288, 2), 2)</f>
        <v>1866.05</v>
      </c>
      <c r="T416">
        <f>Source!Y288</f>
        <v>1866.05</v>
      </c>
      <c r="U416">
        <f>ROUND((175/100)*ROUND((Source!AE288*Source!AV288)*Source!I288, 2), 2)</f>
        <v>23487.71</v>
      </c>
      <c r="V416">
        <f>ROUND((108/100)*ROUND(Source!CS288*Source!I288, 2), 2)</f>
        <v>14495.27</v>
      </c>
    </row>
    <row r="417" spans="1:22" x14ac:dyDescent="0.2">
      <c r="C417" s="23" t="str">
        <f>"Объем: "&amp;Source!I288&amp;"=1*"&amp;"15"</f>
        <v>Объем: 15=1*15</v>
      </c>
    </row>
    <row r="418" spans="1:22" ht="14.25" x14ac:dyDescent="0.2">
      <c r="A418" s="19"/>
      <c r="B418" s="19"/>
      <c r="C418" s="19" t="s">
        <v>500</v>
      </c>
      <c r="D418" s="20"/>
      <c r="E418" s="9"/>
      <c r="F418" s="22">
        <f>Source!AO288</f>
        <v>1244.03</v>
      </c>
      <c r="G418" s="21" t="str">
        <f>Source!DG288</f>
        <v/>
      </c>
      <c r="H418" s="9">
        <f>Source!AV288</f>
        <v>1</v>
      </c>
      <c r="I418" s="9">
        <f>IF(Source!BA288&lt;&gt; 0, Source!BA288, 1)</f>
        <v>1</v>
      </c>
      <c r="J418" s="22">
        <f>Source!S288</f>
        <v>18660.45</v>
      </c>
      <c r="K418" s="22"/>
    </row>
    <row r="419" spans="1:22" ht="14.25" x14ac:dyDescent="0.2">
      <c r="A419" s="19"/>
      <c r="B419" s="19"/>
      <c r="C419" s="19" t="s">
        <v>506</v>
      </c>
      <c r="D419" s="20"/>
      <c r="E419" s="9"/>
      <c r="F419" s="22">
        <f>Source!AM288</f>
        <v>1411.16</v>
      </c>
      <c r="G419" s="21" t="str">
        <f>Source!DE288</f>
        <v/>
      </c>
      <c r="H419" s="9">
        <f>Source!AV288</f>
        <v>1</v>
      </c>
      <c r="I419" s="9">
        <f>IF(Source!BB288&lt;&gt; 0, Source!BB288, 1)</f>
        <v>1</v>
      </c>
      <c r="J419" s="22">
        <f>Source!Q288</f>
        <v>21167.4</v>
      </c>
      <c r="K419" s="22"/>
    </row>
    <row r="420" spans="1:22" ht="14.25" x14ac:dyDescent="0.2">
      <c r="A420" s="19"/>
      <c r="B420" s="19"/>
      <c r="C420" s="19" t="s">
        <v>507</v>
      </c>
      <c r="D420" s="20"/>
      <c r="E420" s="9"/>
      <c r="F420" s="22">
        <f>Source!AN288</f>
        <v>894.77</v>
      </c>
      <c r="G420" s="21" t="str">
        <f>Source!DF288</f>
        <v/>
      </c>
      <c r="H420" s="9">
        <f>Source!AV288</f>
        <v>1</v>
      </c>
      <c r="I420" s="9">
        <f>IF(Source!BS288&lt;&gt; 0, Source!BS288, 1)</f>
        <v>1</v>
      </c>
      <c r="J420" s="27">
        <f>Source!R288</f>
        <v>13421.55</v>
      </c>
      <c r="K420" s="22"/>
    </row>
    <row r="421" spans="1:22" ht="14.25" x14ac:dyDescent="0.2">
      <c r="A421" s="19"/>
      <c r="B421" s="19"/>
      <c r="C421" s="19" t="s">
        <v>508</v>
      </c>
      <c r="D421" s="20"/>
      <c r="E421" s="9"/>
      <c r="F421" s="22">
        <f>Source!AL288</f>
        <v>0.63</v>
      </c>
      <c r="G421" s="21" t="str">
        <f>Source!DD288</f>
        <v/>
      </c>
      <c r="H421" s="9">
        <f>Source!AW288</f>
        <v>1</v>
      </c>
      <c r="I421" s="9">
        <f>IF(Source!BC288&lt;&gt; 0, Source!BC288, 1)</f>
        <v>1</v>
      </c>
      <c r="J421" s="22">
        <f>Source!P288</f>
        <v>9.4499999999999993</v>
      </c>
      <c r="K421" s="22"/>
    </row>
    <row r="422" spans="1:22" ht="14.25" x14ac:dyDescent="0.2">
      <c r="A422" s="19"/>
      <c r="B422" s="19"/>
      <c r="C422" s="19" t="s">
        <v>501</v>
      </c>
      <c r="D422" s="20" t="s">
        <v>502</v>
      </c>
      <c r="E422" s="9">
        <f>Source!AT288</f>
        <v>70</v>
      </c>
      <c r="F422" s="22"/>
      <c r="G422" s="21"/>
      <c r="H422" s="9"/>
      <c r="I422" s="9"/>
      <c r="J422" s="22">
        <f>SUM(R416:R421)</f>
        <v>13062.32</v>
      </c>
      <c r="K422" s="22"/>
    </row>
    <row r="423" spans="1:22" ht="14.25" x14ac:dyDescent="0.2">
      <c r="A423" s="19"/>
      <c r="B423" s="19"/>
      <c r="C423" s="19" t="s">
        <v>503</v>
      </c>
      <c r="D423" s="20" t="s">
        <v>502</v>
      </c>
      <c r="E423" s="9">
        <f>Source!AU288</f>
        <v>10</v>
      </c>
      <c r="F423" s="22"/>
      <c r="G423" s="21"/>
      <c r="H423" s="9"/>
      <c r="I423" s="9"/>
      <c r="J423" s="22">
        <f>SUM(T416:T422)</f>
        <v>1866.05</v>
      </c>
      <c r="K423" s="22"/>
    </row>
    <row r="424" spans="1:22" ht="14.25" x14ac:dyDescent="0.2">
      <c r="A424" s="19"/>
      <c r="B424" s="19"/>
      <c r="C424" s="19" t="s">
        <v>509</v>
      </c>
      <c r="D424" s="20" t="s">
        <v>502</v>
      </c>
      <c r="E424" s="9">
        <f>108</f>
        <v>108</v>
      </c>
      <c r="F424" s="22"/>
      <c r="G424" s="21"/>
      <c r="H424" s="9"/>
      <c r="I424" s="9"/>
      <c r="J424" s="22">
        <f>SUM(V416:V423)</f>
        <v>14495.27</v>
      </c>
      <c r="K424" s="22"/>
    </row>
    <row r="425" spans="1:22" ht="14.25" x14ac:dyDescent="0.2">
      <c r="A425" s="19"/>
      <c r="B425" s="19"/>
      <c r="C425" s="19" t="s">
        <v>504</v>
      </c>
      <c r="D425" s="20" t="s">
        <v>505</v>
      </c>
      <c r="E425" s="9">
        <f>Source!AQ288</f>
        <v>1.75</v>
      </c>
      <c r="F425" s="22"/>
      <c r="G425" s="21" t="str">
        <f>Source!DI288</f>
        <v/>
      </c>
      <c r="H425" s="9">
        <f>Source!AV288</f>
        <v>1</v>
      </c>
      <c r="I425" s="9"/>
      <c r="J425" s="22"/>
      <c r="K425" s="22">
        <f>Source!U288</f>
        <v>26.25</v>
      </c>
    </row>
    <row r="426" spans="1:22" ht="15" x14ac:dyDescent="0.25">
      <c r="A426" s="25"/>
      <c r="B426" s="25"/>
      <c r="C426" s="25"/>
      <c r="D426" s="25"/>
      <c r="E426" s="25"/>
      <c r="F426" s="25"/>
      <c r="G426" s="25"/>
      <c r="H426" s="25"/>
      <c r="I426" s="52">
        <f>J418+J419+J421+J422+J423+J424</f>
        <v>69260.94</v>
      </c>
      <c r="J426" s="52"/>
      <c r="K426" s="26">
        <f>IF(Source!I288&lt;&gt;0, ROUND(I426/Source!I288, 2), 0)</f>
        <v>4617.3999999999996</v>
      </c>
      <c r="P426" s="24">
        <f>I426</f>
        <v>69260.94</v>
      </c>
    </row>
    <row r="428" spans="1:22" ht="15" customHeight="1" x14ac:dyDescent="0.25">
      <c r="A428" s="54" t="str">
        <f>CONCATENATE("Итого по подразделу: ",IF(Source!G292&lt;&gt;"Новый подраздел", Source!G292, ""))</f>
        <v>Итого по подразделу: Система внутреннего водоснабжения и водоотведения</v>
      </c>
      <c r="B428" s="54"/>
      <c r="C428" s="54"/>
      <c r="D428" s="54"/>
      <c r="E428" s="54"/>
      <c r="F428" s="54"/>
      <c r="G428" s="54"/>
      <c r="H428" s="54"/>
      <c r="I428" s="53">
        <f>SUM(P316:P427)</f>
        <v>189869.88</v>
      </c>
      <c r="J428" s="53"/>
      <c r="K428" s="28"/>
    </row>
    <row r="431" spans="1:22" ht="16.5" customHeight="1" x14ac:dyDescent="0.25">
      <c r="A431" s="51" t="str">
        <f>CONCATENATE("Подраздел: ",IF(Source!G322&lt;&gt;"Новый подраздел", Source!G322, ""))</f>
        <v>Подраздел: Отопление</v>
      </c>
      <c r="B431" s="51"/>
      <c r="C431" s="51"/>
      <c r="D431" s="51"/>
      <c r="E431" s="51"/>
      <c r="F431" s="51"/>
      <c r="G431" s="51"/>
      <c r="H431" s="51"/>
      <c r="I431" s="51"/>
      <c r="J431" s="51"/>
      <c r="K431" s="51"/>
    </row>
    <row r="432" spans="1:22" ht="57" x14ac:dyDescent="0.2">
      <c r="A432" s="19">
        <v>41</v>
      </c>
      <c r="B432" s="19" t="str">
        <f>Source!F327</f>
        <v>1.21-2303-50-1/1</v>
      </c>
      <c r="C432" s="19" t="str">
        <f>Source!G327</f>
        <v>Техническое обслуживание  конвектора электрического настенного крепления, с механическим термостатом, мощность до 2,0 кВт</v>
      </c>
      <c r="D432" s="20" t="str">
        <f>Source!H327</f>
        <v>шт.</v>
      </c>
      <c r="E432" s="9">
        <f>Source!I327</f>
        <v>30</v>
      </c>
      <c r="F432" s="22"/>
      <c r="G432" s="21"/>
      <c r="H432" s="9"/>
      <c r="I432" s="9"/>
      <c r="J432" s="22"/>
      <c r="K432" s="22"/>
      <c r="Q432">
        <f>ROUND((Source!BZ327/100)*ROUND((Source!AF327*Source!AV327)*Source!I327, 2), 2)</f>
        <v>1815.45</v>
      </c>
      <c r="R432">
        <f>Source!X327</f>
        <v>1815.45</v>
      </c>
      <c r="S432">
        <f>ROUND((Source!CA327/100)*ROUND((Source!AF327*Source!AV327)*Source!I327, 2), 2)</f>
        <v>259.35000000000002</v>
      </c>
      <c r="T432">
        <f>Source!Y327</f>
        <v>259.35000000000002</v>
      </c>
      <c r="U432">
        <f>ROUND((175/100)*ROUND((Source!AE327*Source!AV327)*Source!I327, 2), 2)</f>
        <v>0</v>
      </c>
      <c r="V432">
        <f>ROUND((108/100)*ROUND(Source!CS327*Source!I327, 2), 2)</f>
        <v>0</v>
      </c>
    </row>
    <row r="433" spans="1:22" x14ac:dyDescent="0.2">
      <c r="C433" s="23" t="str">
        <f>"Объем: "&amp;Source!I327&amp;"=2*"&amp;"15"</f>
        <v>Объем: 30=2*15</v>
      </c>
    </row>
    <row r="434" spans="1:22" ht="14.25" x14ac:dyDescent="0.2">
      <c r="A434" s="19"/>
      <c r="B434" s="19"/>
      <c r="C434" s="19" t="s">
        <v>500</v>
      </c>
      <c r="D434" s="20"/>
      <c r="E434" s="9"/>
      <c r="F434" s="22">
        <f>Source!AO327</f>
        <v>86.45</v>
      </c>
      <c r="G434" s="21" t="str">
        <f>Source!DG327</f>
        <v/>
      </c>
      <c r="H434" s="9">
        <f>Source!AV327</f>
        <v>1</v>
      </c>
      <c r="I434" s="9">
        <f>IF(Source!BA327&lt;&gt; 0, Source!BA327, 1)</f>
        <v>1</v>
      </c>
      <c r="J434" s="22">
        <f>Source!S327</f>
        <v>2593.5</v>
      </c>
      <c r="K434" s="22"/>
    </row>
    <row r="435" spans="1:22" ht="14.25" x14ac:dyDescent="0.2">
      <c r="A435" s="19"/>
      <c r="B435" s="19"/>
      <c r="C435" s="19" t="s">
        <v>506</v>
      </c>
      <c r="D435" s="20"/>
      <c r="E435" s="9"/>
      <c r="F435" s="22">
        <f>Source!AM327</f>
        <v>0.23</v>
      </c>
      <c r="G435" s="21" t="str">
        <f>Source!DE327</f>
        <v/>
      </c>
      <c r="H435" s="9">
        <f>Source!AV327</f>
        <v>1</v>
      </c>
      <c r="I435" s="9">
        <f>IF(Source!BB327&lt;&gt; 0, Source!BB327, 1)</f>
        <v>1</v>
      </c>
      <c r="J435" s="22">
        <f>Source!Q327</f>
        <v>6.9</v>
      </c>
      <c r="K435" s="22"/>
    </row>
    <row r="436" spans="1:22" ht="14.25" x14ac:dyDescent="0.2">
      <c r="A436" s="19"/>
      <c r="B436" s="19"/>
      <c r="C436" s="19" t="s">
        <v>508</v>
      </c>
      <c r="D436" s="20"/>
      <c r="E436" s="9"/>
      <c r="F436" s="22">
        <f>Source!AL327</f>
        <v>2.2000000000000002</v>
      </c>
      <c r="G436" s="21" t="str">
        <f>Source!DD327</f>
        <v/>
      </c>
      <c r="H436" s="9">
        <f>Source!AW327</f>
        <v>1</v>
      </c>
      <c r="I436" s="9">
        <f>IF(Source!BC327&lt;&gt; 0, Source!BC327, 1)</f>
        <v>1</v>
      </c>
      <c r="J436" s="22">
        <f>Source!P327</f>
        <v>66</v>
      </c>
      <c r="K436" s="22"/>
    </row>
    <row r="437" spans="1:22" ht="14.25" x14ac:dyDescent="0.2">
      <c r="A437" s="19"/>
      <c r="B437" s="19"/>
      <c r="C437" s="19" t="s">
        <v>501</v>
      </c>
      <c r="D437" s="20" t="s">
        <v>502</v>
      </c>
      <c r="E437" s="9">
        <f>Source!AT327</f>
        <v>70</v>
      </c>
      <c r="F437" s="22"/>
      <c r="G437" s="21"/>
      <c r="H437" s="9"/>
      <c r="I437" s="9"/>
      <c r="J437" s="22">
        <f>SUM(R432:R436)</f>
        <v>1815.45</v>
      </c>
      <c r="K437" s="22"/>
    </row>
    <row r="438" spans="1:22" ht="14.25" x14ac:dyDescent="0.2">
      <c r="A438" s="19"/>
      <c r="B438" s="19"/>
      <c r="C438" s="19" t="s">
        <v>503</v>
      </c>
      <c r="D438" s="20" t="s">
        <v>502</v>
      </c>
      <c r="E438" s="9">
        <f>Source!AU327</f>
        <v>10</v>
      </c>
      <c r="F438" s="22"/>
      <c r="G438" s="21"/>
      <c r="H438" s="9"/>
      <c r="I438" s="9"/>
      <c r="J438" s="22">
        <f>SUM(T432:T437)</f>
        <v>259.35000000000002</v>
      </c>
      <c r="K438" s="22"/>
    </row>
    <row r="439" spans="1:22" ht="14.25" x14ac:dyDescent="0.2">
      <c r="A439" s="19"/>
      <c r="B439" s="19"/>
      <c r="C439" s="19" t="s">
        <v>504</v>
      </c>
      <c r="D439" s="20" t="s">
        <v>505</v>
      </c>
      <c r="E439" s="9">
        <f>Source!AQ327</f>
        <v>0.14000000000000001</v>
      </c>
      <c r="F439" s="22"/>
      <c r="G439" s="21" t="str">
        <f>Source!DI327</f>
        <v/>
      </c>
      <c r="H439" s="9">
        <f>Source!AV327</f>
        <v>1</v>
      </c>
      <c r="I439" s="9"/>
      <c r="J439" s="22"/>
      <c r="K439" s="22">
        <f>Source!U327</f>
        <v>4.2</v>
      </c>
    </row>
    <row r="440" spans="1:22" ht="15" x14ac:dyDescent="0.25">
      <c r="A440" s="25"/>
      <c r="B440" s="25"/>
      <c r="C440" s="25"/>
      <c r="D440" s="25"/>
      <c r="E440" s="25"/>
      <c r="F440" s="25"/>
      <c r="G440" s="25"/>
      <c r="H440" s="25"/>
      <c r="I440" s="52">
        <f>J434+J435+J436+J437+J438</f>
        <v>4741.2000000000007</v>
      </c>
      <c r="J440" s="52"/>
      <c r="K440" s="26">
        <f>IF(Source!I327&lt;&gt;0, ROUND(I440/Source!I327, 2), 0)</f>
        <v>158.04</v>
      </c>
      <c r="P440" s="24">
        <f>I440</f>
        <v>4741.2000000000007</v>
      </c>
    </row>
    <row r="442" spans="1:22" ht="15" customHeight="1" x14ac:dyDescent="0.25">
      <c r="A442" s="54" t="str">
        <f>CONCATENATE("Итого по подразделу: ",IF(Source!G330&lt;&gt;"Новый подраздел", Source!G330, ""))</f>
        <v>Итого по подразделу: Отопление</v>
      </c>
      <c r="B442" s="54"/>
      <c r="C442" s="54"/>
      <c r="D442" s="54"/>
      <c r="E442" s="54"/>
      <c r="F442" s="54"/>
      <c r="G442" s="54"/>
      <c r="H442" s="54"/>
      <c r="I442" s="53">
        <f>SUM(P431:P441)</f>
        <v>4741.2000000000007</v>
      </c>
      <c r="J442" s="53"/>
      <c r="K442" s="28"/>
    </row>
    <row r="445" spans="1:22" ht="16.5" customHeight="1" x14ac:dyDescent="0.25">
      <c r="A445" s="51" t="str">
        <f>CONCATENATE("Подраздел: ",IF(Source!G360&lt;&gt;"Новый подраздел", Source!G360, ""))</f>
        <v>Подраздел: Вентиляция и кондиционирование</v>
      </c>
      <c r="B445" s="51"/>
      <c r="C445" s="51"/>
      <c r="D445" s="51"/>
      <c r="E445" s="51"/>
      <c r="F445" s="51"/>
      <c r="G445" s="51"/>
      <c r="H445" s="51"/>
      <c r="I445" s="51"/>
      <c r="J445" s="51"/>
      <c r="K445" s="51"/>
    </row>
    <row r="446" spans="1:22" ht="28.5" x14ac:dyDescent="0.2">
      <c r="A446" s="19">
        <v>42</v>
      </c>
      <c r="B446" s="19" t="str">
        <f>Source!F365</f>
        <v>1.18-2303-3-2/1</v>
      </c>
      <c r="C446" s="19" t="str">
        <f>Source!G365</f>
        <v>Техническое обслуживание канального вентилятора - ежеквартальное</v>
      </c>
      <c r="D446" s="20" t="str">
        <f>Source!H365</f>
        <v>шт.</v>
      </c>
      <c r="E446" s="9">
        <f>Source!I365</f>
        <v>15</v>
      </c>
      <c r="F446" s="22"/>
      <c r="G446" s="21"/>
      <c r="H446" s="9"/>
      <c r="I446" s="9"/>
      <c r="J446" s="22"/>
      <c r="K446" s="22"/>
      <c r="Q446">
        <f>ROUND((Source!BZ365/100)*ROUND((Source!AF365*Source!AV365)*Source!I365, 2), 2)</f>
        <v>22481.13</v>
      </c>
      <c r="R446">
        <f>Source!X365</f>
        <v>22481.13</v>
      </c>
      <c r="S446">
        <f>ROUND((Source!CA365/100)*ROUND((Source!AF365*Source!AV365)*Source!I365, 2), 2)</f>
        <v>3211.59</v>
      </c>
      <c r="T446">
        <f>Source!Y365</f>
        <v>3211.59</v>
      </c>
      <c r="U446">
        <f>ROUND((175/100)*ROUND((Source!AE365*Source!AV365)*Source!I365, 2), 2)</f>
        <v>0</v>
      </c>
      <c r="V446">
        <f>ROUND((108/100)*ROUND(Source!CS365*Source!I365, 2), 2)</f>
        <v>0</v>
      </c>
    </row>
    <row r="447" spans="1:22" x14ac:dyDescent="0.2">
      <c r="C447" s="23" t="str">
        <f>"Объем: "&amp;Source!I365&amp;"=1*"&amp;"15"</f>
        <v>Объем: 15=1*15</v>
      </c>
    </row>
    <row r="448" spans="1:22" ht="14.25" x14ac:dyDescent="0.2">
      <c r="A448" s="19"/>
      <c r="B448" s="19"/>
      <c r="C448" s="19" t="s">
        <v>500</v>
      </c>
      <c r="D448" s="20"/>
      <c r="E448" s="9"/>
      <c r="F448" s="22">
        <f>Source!AO365</f>
        <v>1070.53</v>
      </c>
      <c r="G448" s="21" t="str">
        <f>Source!DG365</f>
        <v>)*2</v>
      </c>
      <c r="H448" s="9">
        <f>Source!AV365</f>
        <v>1</v>
      </c>
      <c r="I448" s="9">
        <f>IF(Source!BA365&lt;&gt; 0, Source!BA365, 1)</f>
        <v>1</v>
      </c>
      <c r="J448" s="22">
        <f>Source!S365</f>
        <v>32115.9</v>
      </c>
      <c r="K448" s="22"/>
    </row>
    <row r="449" spans="1:22" ht="14.25" x14ac:dyDescent="0.2">
      <c r="A449" s="19"/>
      <c r="B449" s="19"/>
      <c r="C449" s="19" t="s">
        <v>501</v>
      </c>
      <c r="D449" s="20" t="s">
        <v>502</v>
      </c>
      <c r="E449" s="9">
        <f>Source!AT365</f>
        <v>70</v>
      </c>
      <c r="F449" s="22"/>
      <c r="G449" s="21"/>
      <c r="H449" s="9"/>
      <c r="I449" s="9"/>
      <c r="J449" s="22">
        <f>SUM(R446:R448)</f>
        <v>22481.13</v>
      </c>
      <c r="K449" s="22"/>
    </row>
    <row r="450" spans="1:22" ht="14.25" x14ac:dyDescent="0.2">
      <c r="A450" s="19"/>
      <c r="B450" s="19"/>
      <c r="C450" s="19" t="s">
        <v>503</v>
      </c>
      <c r="D450" s="20" t="s">
        <v>502</v>
      </c>
      <c r="E450" s="9">
        <f>Source!AU365</f>
        <v>10</v>
      </c>
      <c r="F450" s="22"/>
      <c r="G450" s="21"/>
      <c r="H450" s="9"/>
      <c r="I450" s="9"/>
      <c r="J450" s="22">
        <f>SUM(T446:T449)</f>
        <v>3211.59</v>
      </c>
      <c r="K450" s="22"/>
    </row>
    <row r="451" spans="1:22" ht="14.25" x14ac:dyDescent="0.2">
      <c r="A451" s="19"/>
      <c r="B451" s="19"/>
      <c r="C451" s="19" t="s">
        <v>504</v>
      </c>
      <c r="D451" s="20" t="s">
        <v>505</v>
      </c>
      <c r="E451" s="9">
        <f>Source!AQ365</f>
        <v>1.76</v>
      </c>
      <c r="F451" s="22"/>
      <c r="G451" s="21" t="str">
        <f>Source!DI365</f>
        <v>)*2</v>
      </c>
      <c r="H451" s="9">
        <f>Source!AV365</f>
        <v>1</v>
      </c>
      <c r="I451" s="9"/>
      <c r="J451" s="22"/>
      <c r="K451" s="22">
        <f>Source!U365</f>
        <v>52.8</v>
      </c>
    </row>
    <row r="452" spans="1:22" ht="15" x14ac:dyDescent="0.25">
      <c r="A452" s="25"/>
      <c r="B452" s="25"/>
      <c r="C452" s="25"/>
      <c r="D452" s="25"/>
      <c r="E452" s="25"/>
      <c r="F452" s="25"/>
      <c r="G452" s="25"/>
      <c r="H452" s="25"/>
      <c r="I452" s="52">
        <f>J448+J449+J450</f>
        <v>57808.619999999995</v>
      </c>
      <c r="J452" s="52"/>
      <c r="K452" s="26">
        <f>IF(Source!I365&lt;&gt;0, ROUND(I452/Source!I365, 2), 0)</f>
        <v>3853.91</v>
      </c>
      <c r="P452" s="24">
        <f>I452</f>
        <v>57808.619999999995</v>
      </c>
    </row>
    <row r="453" spans="1:22" ht="42.75" x14ac:dyDescent="0.2">
      <c r="A453" s="19">
        <v>43</v>
      </c>
      <c r="B453" s="19" t="str">
        <f>Source!F367</f>
        <v>1.18-2403-19-5/1</v>
      </c>
      <c r="C453" s="19" t="str">
        <f>Source!G367</f>
        <v>Техническое обслуживание внутренних настенных блоков сплит систем мощностью до 7 кВт - полугодовое</v>
      </c>
      <c r="D453" s="20" t="str">
        <f>Source!H367</f>
        <v>1 блок</v>
      </c>
      <c r="E453" s="9">
        <f>Source!I367</f>
        <v>15</v>
      </c>
      <c r="F453" s="22"/>
      <c r="G453" s="21"/>
      <c r="H453" s="9"/>
      <c r="I453" s="9"/>
      <c r="J453" s="22"/>
      <c r="K453" s="22"/>
      <c r="Q453">
        <f>ROUND((Source!BZ367/100)*ROUND((Source!AF367*Source!AV367)*Source!I367, 2), 2)</f>
        <v>9893.94</v>
      </c>
      <c r="R453">
        <f>Source!X367</f>
        <v>9893.94</v>
      </c>
      <c r="S453">
        <f>ROUND((Source!CA367/100)*ROUND((Source!AF367*Source!AV367)*Source!I367, 2), 2)</f>
        <v>1413.42</v>
      </c>
      <c r="T453">
        <f>Source!Y367</f>
        <v>1413.42</v>
      </c>
      <c r="U453">
        <f>ROUND((175/100)*ROUND((Source!AE367*Source!AV367)*Source!I367, 2), 2)</f>
        <v>0.53</v>
      </c>
      <c r="V453">
        <f>ROUND((108/100)*ROUND(Source!CS367*Source!I367, 2), 2)</f>
        <v>0.32</v>
      </c>
    </row>
    <row r="454" spans="1:22" x14ac:dyDescent="0.2">
      <c r="C454" s="23" t="str">
        <f>"Объем: "&amp;Source!I367&amp;"=1*"&amp;"15"</f>
        <v>Объем: 15=1*15</v>
      </c>
    </row>
    <row r="455" spans="1:22" ht="14.25" x14ac:dyDescent="0.2">
      <c r="A455" s="19"/>
      <c r="B455" s="19"/>
      <c r="C455" s="19" t="s">
        <v>500</v>
      </c>
      <c r="D455" s="20"/>
      <c r="E455" s="9"/>
      <c r="F455" s="22">
        <f>Source!AO367</f>
        <v>942.28</v>
      </c>
      <c r="G455" s="21" t="str">
        <f>Source!DG367</f>
        <v/>
      </c>
      <c r="H455" s="9">
        <f>Source!AV367</f>
        <v>1</v>
      </c>
      <c r="I455" s="9">
        <f>IF(Source!BA367&lt;&gt; 0, Source!BA367, 1)</f>
        <v>1</v>
      </c>
      <c r="J455" s="22">
        <f>Source!S367</f>
        <v>14134.2</v>
      </c>
      <c r="K455" s="22"/>
    </row>
    <row r="456" spans="1:22" ht="14.25" x14ac:dyDescent="0.2">
      <c r="A456" s="19"/>
      <c r="B456" s="19"/>
      <c r="C456" s="19" t="s">
        <v>506</v>
      </c>
      <c r="D456" s="20"/>
      <c r="E456" s="9"/>
      <c r="F456" s="22">
        <f>Source!AM367</f>
        <v>1.79</v>
      </c>
      <c r="G456" s="21" t="str">
        <f>Source!DE367</f>
        <v/>
      </c>
      <c r="H456" s="9">
        <f>Source!AV367</f>
        <v>1</v>
      </c>
      <c r="I456" s="9">
        <f>IF(Source!BB367&lt;&gt; 0, Source!BB367, 1)</f>
        <v>1</v>
      </c>
      <c r="J456" s="22">
        <f>Source!Q367</f>
        <v>26.85</v>
      </c>
      <c r="K456" s="22"/>
    </row>
    <row r="457" spans="1:22" ht="14.25" x14ac:dyDescent="0.2">
      <c r="A457" s="19"/>
      <c r="B457" s="19"/>
      <c r="C457" s="19" t="s">
        <v>507</v>
      </c>
      <c r="D457" s="20"/>
      <c r="E457" s="9"/>
      <c r="F457" s="22">
        <f>Source!AN367</f>
        <v>0.02</v>
      </c>
      <c r="G457" s="21" t="str">
        <f>Source!DF367</f>
        <v/>
      </c>
      <c r="H457" s="9">
        <f>Source!AV367</f>
        <v>1</v>
      </c>
      <c r="I457" s="9">
        <f>IF(Source!BS367&lt;&gt; 0, Source!BS367, 1)</f>
        <v>1</v>
      </c>
      <c r="J457" s="27">
        <f>Source!R367</f>
        <v>0.3</v>
      </c>
      <c r="K457" s="22"/>
    </row>
    <row r="458" spans="1:22" ht="14.25" x14ac:dyDescent="0.2">
      <c r="A458" s="19"/>
      <c r="B458" s="19"/>
      <c r="C458" s="19" t="s">
        <v>508</v>
      </c>
      <c r="D458" s="20"/>
      <c r="E458" s="9"/>
      <c r="F458" s="22">
        <f>Source!AL367</f>
        <v>0.74</v>
      </c>
      <c r="G458" s="21" t="str">
        <f>Source!DD367</f>
        <v/>
      </c>
      <c r="H458" s="9">
        <f>Source!AW367</f>
        <v>1</v>
      </c>
      <c r="I458" s="9">
        <f>IF(Source!BC367&lt;&gt; 0, Source!BC367, 1)</f>
        <v>1</v>
      </c>
      <c r="J458" s="22">
        <f>Source!P367</f>
        <v>11.1</v>
      </c>
      <c r="K458" s="22"/>
    </row>
    <row r="459" spans="1:22" ht="14.25" x14ac:dyDescent="0.2">
      <c r="A459" s="19"/>
      <c r="B459" s="19"/>
      <c r="C459" s="19" t="s">
        <v>501</v>
      </c>
      <c r="D459" s="20" t="s">
        <v>502</v>
      </c>
      <c r="E459" s="9">
        <f>Source!AT367</f>
        <v>70</v>
      </c>
      <c r="F459" s="22"/>
      <c r="G459" s="21"/>
      <c r="H459" s="9"/>
      <c r="I459" s="9"/>
      <c r="J459" s="22">
        <f>SUM(R453:R458)</f>
        <v>9893.94</v>
      </c>
      <c r="K459" s="22"/>
    </row>
    <row r="460" spans="1:22" ht="14.25" x14ac:dyDescent="0.2">
      <c r="A460" s="19"/>
      <c r="B460" s="19"/>
      <c r="C460" s="19" t="s">
        <v>503</v>
      </c>
      <c r="D460" s="20" t="s">
        <v>502</v>
      </c>
      <c r="E460" s="9">
        <f>Source!AU367</f>
        <v>10</v>
      </c>
      <c r="F460" s="22"/>
      <c r="G460" s="21"/>
      <c r="H460" s="9"/>
      <c r="I460" s="9"/>
      <c r="J460" s="22">
        <f>SUM(T453:T459)</f>
        <v>1413.42</v>
      </c>
      <c r="K460" s="22"/>
    </row>
    <row r="461" spans="1:22" ht="14.25" x14ac:dyDescent="0.2">
      <c r="A461" s="19"/>
      <c r="B461" s="19"/>
      <c r="C461" s="19" t="s">
        <v>509</v>
      </c>
      <c r="D461" s="20" t="s">
        <v>502</v>
      </c>
      <c r="E461" s="9">
        <f>108</f>
        <v>108</v>
      </c>
      <c r="F461" s="22"/>
      <c r="G461" s="21"/>
      <c r="H461" s="9"/>
      <c r="I461" s="9"/>
      <c r="J461" s="22">
        <f>SUM(V453:V460)</f>
        <v>0.32</v>
      </c>
      <c r="K461" s="22"/>
    </row>
    <row r="462" spans="1:22" ht="14.25" x14ac:dyDescent="0.2">
      <c r="A462" s="19"/>
      <c r="B462" s="19"/>
      <c r="C462" s="19" t="s">
        <v>504</v>
      </c>
      <c r="D462" s="20" t="s">
        <v>505</v>
      </c>
      <c r="E462" s="9">
        <f>Source!AQ367</f>
        <v>1.42</v>
      </c>
      <c r="F462" s="22"/>
      <c r="G462" s="21" t="str">
        <f>Source!DI367</f>
        <v/>
      </c>
      <c r="H462" s="9">
        <f>Source!AV367</f>
        <v>1</v>
      </c>
      <c r="I462" s="9"/>
      <c r="J462" s="22"/>
      <c r="K462" s="22">
        <f>Source!U367</f>
        <v>21.299999999999997</v>
      </c>
    </row>
    <row r="463" spans="1:22" ht="15" x14ac:dyDescent="0.25">
      <c r="A463" s="25"/>
      <c r="B463" s="25"/>
      <c r="C463" s="25"/>
      <c r="D463" s="25"/>
      <c r="E463" s="25"/>
      <c r="F463" s="25"/>
      <c r="G463" s="25"/>
      <c r="H463" s="25"/>
      <c r="I463" s="52">
        <f>J455+J456+J458+J459+J460+J461</f>
        <v>25479.83</v>
      </c>
      <c r="J463" s="52"/>
      <c r="K463" s="26">
        <f>IF(Source!I367&lt;&gt;0, ROUND(I463/Source!I367, 2), 0)</f>
        <v>1698.66</v>
      </c>
      <c r="P463" s="24">
        <f>I463</f>
        <v>25479.83</v>
      </c>
    </row>
    <row r="464" spans="1:22" ht="42.75" x14ac:dyDescent="0.2">
      <c r="A464" s="19">
        <v>44</v>
      </c>
      <c r="B464" s="19" t="str">
        <f>Source!F369</f>
        <v>1.18-2403-18-3/1</v>
      </c>
      <c r="C464" s="19" t="str">
        <f>Source!G369</f>
        <v>Техническое обслуживание наружных блоков сплит систем мощностью до 10 кВт - полугодовое</v>
      </c>
      <c r="D464" s="20" t="str">
        <f>Source!H369</f>
        <v>1 блок</v>
      </c>
      <c r="E464" s="9">
        <f>Source!I369</f>
        <v>15</v>
      </c>
      <c r="F464" s="22"/>
      <c r="G464" s="21"/>
      <c r="H464" s="9"/>
      <c r="I464" s="9"/>
      <c r="J464" s="22"/>
      <c r="K464" s="22"/>
      <c r="Q464">
        <f>ROUND((Source!BZ369/100)*ROUND((Source!AF369*Source!AV369)*Source!I369, 2), 2)</f>
        <v>17279.54</v>
      </c>
      <c r="R464">
        <f>Source!X369</f>
        <v>17279.54</v>
      </c>
      <c r="S464">
        <f>ROUND((Source!CA369/100)*ROUND((Source!AF369*Source!AV369)*Source!I369, 2), 2)</f>
        <v>2468.5100000000002</v>
      </c>
      <c r="T464">
        <f>Source!Y369</f>
        <v>2468.5100000000002</v>
      </c>
      <c r="U464">
        <f>ROUND((175/100)*ROUND((Source!AE369*Source!AV369)*Source!I369, 2), 2)</f>
        <v>1.31</v>
      </c>
      <c r="V464">
        <f>ROUND((108/100)*ROUND(Source!CS369*Source!I369, 2), 2)</f>
        <v>0.81</v>
      </c>
    </row>
    <row r="465" spans="1:16" x14ac:dyDescent="0.2">
      <c r="C465" s="23" t="str">
        <f>"Объем: "&amp;Source!I369&amp;"=1*"&amp;"15"</f>
        <v>Объем: 15=1*15</v>
      </c>
    </row>
    <row r="466" spans="1:16" ht="14.25" x14ac:dyDescent="0.2">
      <c r="A466" s="19"/>
      <c r="B466" s="19"/>
      <c r="C466" s="19" t="s">
        <v>500</v>
      </c>
      <c r="D466" s="20"/>
      <c r="E466" s="9"/>
      <c r="F466" s="22">
        <f>Source!AO369</f>
        <v>1645.67</v>
      </c>
      <c r="G466" s="21" t="str">
        <f>Source!DG369</f>
        <v/>
      </c>
      <c r="H466" s="9">
        <f>Source!AV369</f>
        <v>1</v>
      </c>
      <c r="I466" s="9">
        <f>IF(Source!BA369&lt;&gt; 0, Source!BA369, 1)</f>
        <v>1</v>
      </c>
      <c r="J466" s="22">
        <f>Source!S369</f>
        <v>24685.05</v>
      </c>
      <c r="K466" s="22"/>
    </row>
    <row r="467" spans="1:16" ht="14.25" x14ac:dyDescent="0.2">
      <c r="A467" s="19"/>
      <c r="B467" s="19"/>
      <c r="C467" s="19" t="s">
        <v>506</v>
      </c>
      <c r="D467" s="20"/>
      <c r="E467" s="9"/>
      <c r="F467" s="22">
        <f>Source!AM369</f>
        <v>3.49</v>
      </c>
      <c r="G467" s="21" t="str">
        <f>Source!DE369</f>
        <v/>
      </c>
      <c r="H467" s="9">
        <f>Source!AV369</f>
        <v>1</v>
      </c>
      <c r="I467" s="9">
        <f>IF(Source!BB369&lt;&gt; 0, Source!BB369, 1)</f>
        <v>1</v>
      </c>
      <c r="J467" s="22">
        <f>Source!Q369</f>
        <v>52.35</v>
      </c>
      <c r="K467" s="22"/>
    </row>
    <row r="468" spans="1:16" ht="14.25" x14ac:dyDescent="0.2">
      <c r="A468" s="19"/>
      <c r="B468" s="19"/>
      <c r="C468" s="19" t="s">
        <v>507</v>
      </c>
      <c r="D468" s="20"/>
      <c r="E468" s="9"/>
      <c r="F468" s="22">
        <f>Source!AN369</f>
        <v>0.05</v>
      </c>
      <c r="G468" s="21" t="str">
        <f>Source!DF369</f>
        <v/>
      </c>
      <c r="H468" s="9">
        <f>Source!AV369</f>
        <v>1</v>
      </c>
      <c r="I468" s="9">
        <f>IF(Source!BS369&lt;&gt; 0, Source!BS369, 1)</f>
        <v>1</v>
      </c>
      <c r="J468" s="27">
        <f>Source!R369</f>
        <v>0.75</v>
      </c>
      <c r="K468" s="22"/>
    </row>
    <row r="469" spans="1:16" ht="14.25" x14ac:dyDescent="0.2">
      <c r="A469" s="19"/>
      <c r="B469" s="19"/>
      <c r="C469" s="19" t="s">
        <v>508</v>
      </c>
      <c r="D469" s="20"/>
      <c r="E469" s="9"/>
      <c r="F469" s="22">
        <f>Source!AL369</f>
        <v>0.94</v>
      </c>
      <c r="G469" s="21" t="str">
        <f>Source!DD369</f>
        <v/>
      </c>
      <c r="H469" s="9">
        <f>Source!AW369</f>
        <v>1</v>
      </c>
      <c r="I469" s="9">
        <f>IF(Source!BC369&lt;&gt; 0, Source!BC369, 1)</f>
        <v>1</v>
      </c>
      <c r="J469" s="22">
        <f>Source!P369</f>
        <v>14.1</v>
      </c>
      <c r="K469" s="22"/>
    </row>
    <row r="470" spans="1:16" ht="14.25" x14ac:dyDescent="0.2">
      <c r="A470" s="19"/>
      <c r="B470" s="19"/>
      <c r="C470" s="19" t="s">
        <v>501</v>
      </c>
      <c r="D470" s="20" t="s">
        <v>502</v>
      </c>
      <c r="E470" s="9">
        <f>Source!AT369</f>
        <v>70</v>
      </c>
      <c r="F470" s="22"/>
      <c r="G470" s="21"/>
      <c r="H470" s="9"/>
      <c r="I470" s="9"/>
      <c r="J470" s="22">
        <f>SUM(R464:R469)</f>
        <v>17279.54</v>
      </c>
      <c r="K470" s="22"/>
    </row>
    <row r="471" spans="1:16" ht="14.25" x14ac:dyDescent="0.2">
      <c r="A471" s="19"/>
      <c r="B471" s="19"/>
      <c r="C471" s="19" t="s">
        <v>503</v>
      </c>
      <c r="D471" s="20" t="s">
        <v>502</v>
      </c>
      <c r="E471" s="9">
        <f>Source!AU369</f>
        <v>10</v>
      </c>
      <c r="F471" s="22"/>
      <c r="G471" s="21"/>
      <c r="H471" s="9"/>
      <c r="I471" s="9"/>
      <c r="J471" s="22">
        <f>SUM(T464:T470)</f>
        <v>2468.5100000000002</v>
      </c>
      <c r="K471" s="22"/>
    </row>
    <row r="472" spans="1:16" ht="14.25" x14ac:dyDescent="0.2">
      <c r="A472" s="19"/>
      <c r="B472" s="19"/>
      <c r="C472" s="19" t="s">
        <v>509</v>
      </c>
      <c r="D472" s="20" t="s">
        <v>502</v>
      </c>
      <c r="E472" s="9">
        <f>108</f>
        <v>108</v>
      </c>
      <c r="F472" s="22"/>
      <c r="G472" s="21"/>
      <c r="H472" s="9"/>
      <c r="I472" s="9"/>
      <c r="J472" s="22">
        <f>SUM(V464:V471)</f>
        <v>0.81</v>
      </c>
      <c r="K472" s="22"/>
    </row>
    <row r="473" spans="1:16" ht="14.25" x14ac:dyDescent="0.2">
      <c r="A473" s="19"/>
      <c r="B473" s="19"/>
      <c r="C473" s="19" t="s">
        <v>504</v>
      </c>
      <c r="D473" s="20" t="s">
        <v>505</v>
      </c>
      <c r="E473" s="9">
        <f>Source!AQ369</f>
        <v>2.48</v>
      </c>
      <c r="F473" s="22"/>
      <c r="G473" s="21" t="str">
        <f>Source!DI369</f>
        <v/>
      </c>
      <c r="H473" s="9">
        <f>Source!AV369</f>
        <v>1</v>
      </c>
      <c r="I473" s="9"/>
      <c r="J473" s="22"/>
      <c r="K473" s="22">
        <f>Source!U369</f>
        <v>37.200000000000003</v>
      </c>
    </row>
    <row r="474" spans="1:16" ht="15" x14ac:dyDescent="0.25">
      <c r="A474" s="25"/>
      <c r="B474" s="25"/>
      <c r="C474" s="25"/>
      <c r="D474" s="25"/>
      <c r="E474" s="25"/>
      <c r="F474" s="25"/>
      <c r="G474" s="25"/>
      <c r="H474" s="25"/>
      <c r="I474" s="52">
        <f>J466+J467+J469+J470+J471+J472</f>
        <v>44500.359999999993</v>
      </c>
      <c r="J474" s="52"/>
      <c r="K474" s="26">
        <f>IF(Source!I369&lt;&gt;0, ROUND(I474/Source!I369, 2), 0)</f>
        <v>2966.69</v>
      </c>
      <c r="P474" s="24">
        <f>I474</f>
        <v>44500.359999999993</v>
      </c>
    </row>
    <row r="476" spans="1:16" ht="15" customHeight="1" x14ac:dyDescent="0.25">
      <c r="A476" s="54" t="str">
        <f>CONCATENATE("Итого по подразделу: ",IF(Source!G374&lt;&gt;"Новый подраздел", Source!G374, ""))</f>
        <v>Итого по подразделу: Вентиляция и кондиционирование</v>
      </c>
      <c r="B476" s="54"/>
      <c r="C476" s="54"/>
      <c r="D476" s="54"/>
      <c r="E476" s="54"/>
      <c r="F476" s="54"/>
      <c r="G476" s="54"/>
      <c r="H476" s="54"/>
      <c r="I476" s="53">
        <f>SUM(P445:P475)</f>
        <v>127788.81</v>
      </c>
      <c r="J476" s="53"/>
      <c r="K476" s="28"/>
    </row>
    <row r="479" spans="1:16" ht="16.5" customHeight="1" x14ac:dyDescent="0.25">
      <c r="A479" s="51" t="str">
        <f>CONCATENATE("Подраздел: ",IF(Source!G404&lt;&gt;"Новый подраздел", Source!G404, ""))</f>
        <v>Подраздел: Система электроснабжения</v>
      </c>
      <c r="B479" s="51"/>
      <c r="C479" s="51"/>
      <c r="D479" s="51"/>
      <c r="E479" s="51"/>
      <c r="F479" s="51"/>
      <c r="G479" s="51"/>
      <c r="H479" s="51"/>
      <c r="I479" s="51"/>
      <c r="J479" s="51"/>
      <c r="K479" s="51"/>
    </row>
    <row r="481" spans="1:22" ht="15" customHeight="1" x14ac:dyDescent="0.25">
      <c r="B481" s="55" t="str">
        <f>Source!G408</f>
        <v>Щитовое оборудование:</v>
      </c>
      <c r="C481" s="55"/>
      <c r="D481" s="55"/>
      <c r="E481" s="55"/>
      <c r="F481" s="55"/>
      <c r="G481" s="55"/>
      <c r="H481" s="55"/>
      <c r="I481" s="55"/>
      <c r="J481" s="55"/>
    </row>
    <row r="482" spans="1:22" ht="71.25" x14ac:dyDescent="0.2">
      <c r="A482" s="19">
        <v>45</v>
      </c>
      <c r="B482" s="19" t="str">
        <f>Source!F409</f>
        <v>1.21-2203-2-5/1</v>
      </c>
      <c r="C482" s="19" t="str">
        <f>Source!G409</f>
        <v>Техническое обслуживание силового распределительного пункта с установочными автоматами, число групп 12 /( Распределительный щит навесной, 36 модулей, IP54 )</v>
      </c>
      <c r="D482" s="20" t="str">
        <f>Source!H409</f>
        <v>шт.</v>
      </c>
      <c r="E482" s="9">
        <f>Source!I409</f>
        <v>15</v>
      </c>
      <c r="F482" s="22"/>
      <c r="G482" s="21"/>
      <c r="H482" s="9"/>
      <c r="I482" s="9"/>
      <c r="J482" s="22"/>
      <c r="K482" s="22"/>
      <c r="Q482">
        <f>ROUND((Source!BZ409/100)*ROUND((Source!AF409*Source!AV409)*Source!I409, 2), 2)</f>
        <v>155607.48000000001</v>
      </c>
      <c r="R482">
        <f>Source!X409</f>
        <v>155607.48000000001</v>
      </c>
      <c r="S482">
        <f>ROUND((Source!CA409/100)*ROUND((Source!AF409*Source!AV409)*Source!I409, 2), 2)</f>
        <v>22229.64</v>
      </c>
      <c r="T482">
        <f>Source!Y409</f>
        <v>22229.64</v>
      </c>
      <c r="U482">
        <f>ROUND((175/100)*ROUND((Source!AE409*Source!AV409)*Source!I409, 2), 2)</f>
        <v>0</v>
      </c>
      <c r="V482">
        <f>ROUND((108/100)*ROUND(Source!CS409*Source!I409, 2), 2)</f>
        <v>0</v>
      </c>
    </row>
    <row r="483" spans="1:22" ht="14.25" x14ac:dyDescent="0.2">
      <c r="A483" s="19"/>
      <c r="B483" s="19"/>
      <c r="C483" s="19" t="s">
        <v>500</v>
      </c>
      <c r="D483" s="20"/>
      <c r="E483" s="9"/>
      <c r="F483" s="22">
        <f>Source!AO409</f>
        <v>14819.76</v>
      </c>
      <c r="G483" s="21" t="str">
        <f>Source!DG409</f>
        <v/>
      </c>
      <c r="H483" s="9">
        <f>Source!AV409</f>
        <v>1</v>
      </c>
      <c r="I483" s="9">
        <f>IF(Source!BA409&lt;&gt; 0, Source!BA409, 1)</f>
        <v>1</v>
      </c>
      <c r="J483" s="22">
        <f>Source!S409</f>
        <v>222296.4</v>
      </c>
      <c r="K483" s="22"/>
    </row>
    <row r="484" spans="1:22" ht="14.25" x14ac:dyDescent="0.2">
      <c r="A484" s="19"/>
      <c r="B484" s="19"/>
      <c r="C484" s="19" t="s">
        <v>508</v>
      </c>
      <c r="D484" s="20"/>
      <c r="E484" s="9"/>
      <c r="F484" s="22">
        <f>Source!AL409</f>
        <v>205.53</v>
      </c>
      <c r="G484" s="21" t="str">
        <f>Source!DD409</f>
        <v/>
      </c>
      <c r="H484" s="9">
        <f>Source!AW409</f>
        <v>1</v>
      </c>
      <c r="I484" s="9">
        <f>IF(Source!BC409&lt;&gt; 0, Source!BC409, 1)</f>
        <v>1</v>
      </c>
      <c r="J484" s="22">
        <f>Source!P409</f>
        <v>3082.95</v>
      </c>
      <c r="K484" s="22"/>
    </row>
    <row r="485" spans="1:22" ht="14.25" x14ac:dyDescent="0.2">
      <c r="A485" s="19"/>
      <c r="B485" s="19"/>
      <c r="C485" s="19" t="s">
        <v>501</v>
      </c>
      <c r="D485" s="20" t="s">
        <v>502</v>
      </c>
      <c r="E485" s="9">
        <f>Source!AT409</f>
        <v>70</v>
      </c>
      <c r="F485" s="22"/>
      <c r="G485" s="21"/>
      <c r="H485" s="9"/>
      <c r="I485" s="9"/>
      <c r="J485" s="22">
        <f>SUM(R482:R484)</f>
        <v>155607.48000000001</v>
      </c>
      <c r="K485" s="22"/>
    </row>
    <row r="486" spans="1:22" ht="14.25" x14ac:dyDescent="0.2">
      <c r="A486" s="19"/>
      <c r="B486" s="19"/>
      <c r="C486" s="19" t="s">
        <v>503</v>
      </c>
      <c r="D486" s="20" t="s">
        <v>502</v>
      </c>
      <c r="E486" s="9">
        <f>Source!AU409</f>
        <v>10</v>
      </c>
      <c r="F486" s="22"/>
      <c r="G486" s="21"/>
      <c r="H486" s="9"/>
      <c r="I486" s="9"/>
      <c r="J486" s="22">
        <f>SUM(T482:T485)</f>
        <v>22229.64</v>
      </c>
      <c r="K486" s="22"/>
    </row>
    <row r="487" spans="1:22" ht="14.25" x14ac:dyDescent="0.2">
      <c r="A487" s="19"/>
      <c r="B487" s="19"/>
      <c r="C487" s="19" t="s">
        <v>504</v>
      </c>
      <c r="D487" s="20" t="s">
        <v>505</v>
      </c>
      <c r="E487" s="9">
        <f>Source!AQ409</f>
        <v>24</v>
      </c>
      <c r="F487" s="22"/>
      <c r="G487" s="21" t="str">
        <f>Source!DI409</f>
        <v/>
      </c>
      <c r="H487" s="9">
        <f>Source!AV409</f>
        <v>1</v>
      </c>
      <c r="I487" s="9"/>
      <c r="J487" s="22"/>
      <c r="K487" s="22">
        <f>Source!U409</f>
        <v>360</v>
      </c>
    </row>
    <row r="488" spans="1:22" ht="15" x14ac:dyDescent="0.25">
      <c r="A488" s="25"/>
      <c r="B488" s="25"/>
      <c r="C488" s="25"/>
      <c r="D488" s="25"/>
      <c r="E488" s="25"/>
      <c r="F488" s="25"/>
      <c r="G488" s="25"/>
      <c r="H488" s="25"/>
      <c r="I488" s="52">
        <f>J483+J484+J485+J486</f>
        <v>403216.47000000003</v>
      </c>
      <c r="J488" s="52"/>
      <c r="K488" s="26">
        <f>IF(Source!I409&lt;&gt;0, ROUND(I488/Source!I409, 2), 0)</f>
        <v>26881.1</v>
      </c>
      <c r="P488" s="24">
        <f>I488</f>
        <v>403216.47000000003</v>
      </c>
    </row>
    <row r="489" spans="1:22" ht="57" x14ac:dyDescent="0.2">
      <c r="A489" s="19">
        <v>46</v>
      </c>
      <c r="B489" s="19" t="str">
        <f>Source!F412</f>
        <v>1.21-2303-3-1/1</v>
      </c>
      <c r="C489" s="19" t="str">
        <f>Source!G412</f>
        <v>Техническое обслуживание выключателей автоматических трехполюсных установочных, номинальный ток до 200 А /  3р, Iн= 25А</v>
      </c>
      <c r="D489" s="20" t="str">
        <f>Source!H412</f>
        <v>шт.</v>
      </c>
      <c r="E489" s="9">
        <f>Source!I412</f>
        <v>15</v>
      </c>
      <c r="F489" s="22"/>
      <c r="G489" s="21"/>
      <c r="H489" s="9"/>
      <c r="I489" s="9"/>
      <c r="J489" s="22"/>
      <c r="K489" s="22"/>
      <c r="Q489">
        <f>ROUND((Source!BZ412/100)*ROUND((Source!AF412*Source!AV412)*Source!I412, 2), 2)</f>
        <v>9725.42</v>
      </c>
      <c r="R489">
        <f>Source!X412</f>
        <v>9725.42</v>
      </c>
      <c r="S489">
        <f>ROUND((Source!CA412/100)*ROUND((Source!AF412*Source!AV412)*Source!I412, 2), 2)</f>
        <v>1389.35</v>
      </c>
      <c r="T489">
        <f>Source!Y412</f>
        <v>1389.35</v>
      </c>
      <c r="U489">
        <f>ROUND((175/100)*ROUND((Source!AE412*Source!AV412)*Source!I412, 2), 2)</f>
        <v>0</v>
      </c>
      <c r="V489">
        <f>ROUND((108/100)*ROUND(Source!CS412*Source!I412, 2), 2)</f>
        <v>0</v>
      </c>
    </row>
    <row r="490" spans="1:22" x14ac:dyDescent="0.2">
      <c r="C490" s="23" t="str">
        <f>"Объем: "&amp;Source!I412&amp;"=1*"&amp;"15"</f>
        <v>Объем: 15=1*15</v>
      </c>
    </row>
    <row r="491" spans="1:22" ht="14.25" x14ac:dyDescent="0.2">
      <c r="A491" s="19"/>
      <c r="B491" s="19"/>
      <c r="C491" s="19" t="s">
        <v>500</v>
      </c>
      <c r="D491" s="20"/>
      <c r="E491" s="9"/>
      <c r="F491" s="22">
        <f>Source!AO412</f>
        <v>926.23</v>
      </c>
      <c r="G491" s="21" t="str">
        <f>Source!DG412</f>
        <v/>
      </c>
      <c r="H491" s="9">
        <f>Source!AV412</f>
        <v>1</v>
      </c>
      <c r="I491" s="9">
        <f>IF(Source!BA412&lt;&gt; 0, Source!BA412, 1)</f>
        <v>1</v>
      </c>
      <c r="J491" s="22">
        <f>Source!S412</f>
        <v>13893.45</v>
      </c>
      <c r="K491" s="22"/>
    </row>
    <row r="492" spans="1:22" ht="14.25" x14ac:dyDescent="0.2">
      <c r="A492" s="19"/>
      <c r="B492" s="19"/>
      <c r="C492" s="19" t="s">
        <v>508</v>
      </c>
      <c r="D492" s="20"/>
      <c r="E492" s="9"/>
      <c r="F492" s="22">
        <f>Source!AL412</f>
        <v>12.39</v>
      </c>
      <c r="G492" s="21" t="str">
        <f>Source!DD412</f>
        <v/>
      </c>
      <c r="H492" s="9">
        <f>Source!AW412</f>
        <v>1</v>
      </c>
      <c r="I492" s="9">
        <f>IF(Source!BC412&lt;&gt; 0, Source!BC412, 1)</f>
        <v>1</v>
      </c>
      <c r="J492" s="22">
        <f>Source!P412</f>
        <v>185.85</v>
      </c>
      <c r="K492" s="22"/>
    </row>
    <row r="493" spans="1:22" ht="14.25" x14ac:dyDescent="0.2">
      <c r="A493" s="19"/>
      <c r="B493" s="19"/>
      <c r="C493" s="19" t="s">
        <v>501</v>
      </c>
      <c r="D493" s="20" t="s">
        <v>502</v>
      </c>
      <c r="E493" s="9">
        <f>Source!AT412</f>
        <v>70</v>
      </c>
      <c r="F493" s="22"/>
      <c r="G493" s="21"/>
      <c r="H493" s="9"/>
      <c r="I493" s="9"/>
      <c r="J493" s="22">
        <f>SUM(R489:R492)</f>
        <v>9725.42</v>
      </c>
      <c r="K493" s="22"/>
    </row>
    <row r="494" spans="1:22" ht="14.25" x14ac:dyDescent="0.2">
      <c r="A494" s="19"/>
      <c r="B494" s="19"/>
      <c r="C494" s="19" t="s">
        <v>503</v>
      </c>
      <c r="D494" s="20" t="s">
        <v>502</v>
      </c>
      <c r="E494" s="9">
        <f>Source!AU412</f>
        <v>10</v>
      </c>
      <c r="F494" s="22"/>
      <c r="G494" s="21"/>
      <c r="H494" s="9"/>
      <c r="I494" s="9"/>
      <c r="J494" s="22">
        <f>SUM(T489:T493)</f>
        <v>1389.35</v>
      </c>
      <c r="K494" s="22"/>
    </row>
    <row r="495" spans="1:22" ht="14.25" x14ac:dyDescent="0.2">
      <c r="A495" s="19"/>
      <c r="B495" s="19"/>
      <c r="C495" s="19" t="s">
        <v>504</v>
      </c>
      <c r="D495" s="20" t="s">
        <v>505</v>
      </c>
      <c r="E495" s="9">
        <f>Source!AQ412</f>
        <v>1.5</v>
      </c>
      <c r="F495" s="22"/>
      <c r="G495" s="21" t="str">
        <f>Source!DI412</f>
        <v/>
      </c>
      <c r="H495" s="9">
        <f>Source!AV412</f>
        <v>1</v>
      </c>
      <c r="I495" s="9"/>
      <c r="J495" s="22"/>
      <c r="K495" s="22">
        <f>Source!U412</f>
        <v>22.5</v>
      </c>
    </row>
    <row r="496" spans="1:22" ht="15" x14ac:dyDescent="0.25">
      <c r="A496" s="25"/>
      <c r="B496" s="25"/>
      <c r="C496" s="25"/>
      <c r="D496" s="25"/>
      <c r="E496" s="25"/>
      <c r="F496" s="25"/>
      <c r="G496" s="25"/>
      <c r="H496" s="25"/>
      <c r="I496" s="52">
        <f>J491+J492+J493+J494</f>
        <v>25194.07</v>
      </c>
      <c r="J496" s="52"/>
      <c r="K496" s="26">
        <f>IF(Source!I412&lt;&gt;0, ROUND(I496/Source!I412, 2), 0)</f>
        <v>1679.6</v>
      </c>
      <c r="P496" s="24">
        <f>I496</f>
        <v>25194.07</v>
      </c>
    </row>
    <row r="497" spans="1:22" ht="57" x14ac:dyDescent="0.2">
      <c r="A497" s="19">
        <v>47</v>
      </c>
      <c r="B497" s="19" t="str">
        <f>Source!F413</f>
        <v>1.21-2303-28-1/1</v>
      </c>
      <c r="C497" s="19" t="str">
        <f>Source!G413</f>
        <v>Техническое обслуживание автоматического выключателя до 160 А / Устройство защитного отключения 4p, Iн= 40А, диф=300мА</v>
      </c>
      <c r="D497" s="20" t="str">
        <f>Source!H413</f>
        <v>шт.</v>
      </c>
      <c r="E497" s="9">
        <f>Source!I413</f>
        <v>15</v>
      </c>
      <c r="F497" s="22"/>
      <c r="G497" s="21"/>
      <c r="H497" s="9"/>
      <c r="I497" s="9"/>
      <c r="J497" s="22"/>
      <c r="K497" s="22"/>
      <c r="Q497">
        <f>ROUND((Source!BZ413/100)*ROUND((Source!AF413*Source!AV413)*Source!I413, 2), 2)</f>
        <v>4470.8999999999996</v>
      </c>
      <c r="R497">
        <f>Source!X413</f>
        <v>4470.8999999999996</v>
      </c>
      <c r="S497">
        <f>ROUND((Source!CA413/100)*ROUND((Source!AF413*Source!AV413)*Source!I413, 2), 2)</f>
        <v>638.70000000000005</v>
      </c>
      <c r="T497">
        <f>Source!Y413</f>
        <v>638.70000000000005</v>
      </c>
      <c r="U497">
        <f>ROUND((175/100)*ROUND((Source!AE413*Source!AV413)*Source!I413, 2), 2)</f>
        <v>0</v>
      </c>
      <c r="V497">
        <f>ROUND((108/100)*ROUND(Source!CS413*Source!I413, 2), 2)</f>
        <v>0</v>
      </c>
    </row>
    <row r="498" spans="1:22" x14ac:dyDescent="0.2">
      <c r="C498" s="23" t="str">
        <f>"Объем: "&amp;Source!I413&amp;"=1*"&amp;"15"</f>
        <v>Объем: 15=1*15</v>
      </c>
    </row>
    <row r="499" spans="1:22" ht="14.25" x14ac:dyDescent="0.2">
      <c r="A499" s="19"/>
      <c r="B499" s="19"/>
      <c r="C499" s="19" t="s">
        <v>500</v>
      </c>
      <c r="D499" s="20"/>
      <c r="E499" s="9"/>
      <c r="F499" s="22">
        <f>Source!AO413</f>
        <v>212.9</v>
      </c>
      <c r="G499" s="21" t="str">
        <f>Source!DG413</f>
        <v>)*2</v>
      </c>
      <c r="H499" s="9">
        <f>Source!AV413</f>
        <v>1</v>
      </c>
      <c r="I499" s="9">
        <f>IF(Source!BA413&lt;&gt; 0, Source!BA413, 1)</f>
        <v>1</v>
      </c>
      <c r="J499" s="22">
        <f>Source!S413</f>
        <v>6387</v>
      </c>
      <c r="K499" s="22"/>
    </row>
    <row r="500" spans="1:22" ht="14.25" x14ac:dyDescent="0.2">
      <c r="A500" s="19"/>
      <c r="B500" s="19"/>
      <c r="C500" s="19" t="s">
        <v>508</v>
      </c>
      <c r="D500" s="20"/>
      <c r="E500" s="9"/>
      <c r="F500" s="22">
        <f>Source!AL413</f>
        <v>4.53</v>
      </c>
      <c r="G500" s="21" t="str">
        <f>Source!DD413</f>
        <v>)*2</v>
      </c>
      <c r="H500" s="9">
        <f>Source!AW413</f>
        <v>1</v>
      </c>
      <c r="I500" s="9">
        <f>IF(Source!BC413&lt;&gt; 0, Source!BC413, 1)</f>
        <v>1</v>
      </c>
      <c r="J500" s="22">
        <f>Source!P413</f>
        <v>135.9</v>
      </c>
      <c r="K500" s="22"/>
    </row>
    <row r="501" spans="1:22" ht="14.25" x14ac:dyDescent="0.2">
      <c r="A501" s="19"/>
      <c r="B501" s="19"/>
      <c r="C501" s="19" t="s">
        <v>501</v>
      </c>
      <c r="D501" s="20" t="s">
        <v>502</v>
      </c>
      <c r="E501" s="9">
        <f>Source!AT413</f>
        <v>70</v>
      </c>
      <c r="F501" s="22"/>
      <c r="G501" s="21"/>
      <c r="H501" s="9"/>
      <c r="I501" s="9"/>
      <c r="J501" s="22">
        <f>SUM(R497:R500)</f>
        <v>4470.8999999999996</v>
      </c>
      <c r="K501" s="22"/>
    </row>
    <row r="502" spans="1:22" ht="14.25" x14ac:dyDescent="0.2">
      <c r="A502" s="19"/>
      <c r="B502" s="19"/>
      <c r="C502" s="19" t="s">
        <v>503</v>
      </c>
      <c r="D502" s="20" t="s">
        <v>502</v>
      </c>
      <c r="E502" s="9">
        <f>Source!AU413</f>
        <v>10</v>
      </c>
      <c r="F502" s="22"/>
      <c r="G502" s="21"/>
      <c r="H502" s="9"/>
      <c r="I502" s="9"/>
      <c r="J502" s="22">
        <f>SUM(T497:T501)</f>
        <v>638.70000000000005</v>
      </c>
      <c r="K502" s="22"/>
    </row>
    <row r="503" spans="1:22" ht="14.25" x14ac:dyDescent="0.2">
      <c r="A503" s="19"/>
      <c r="B503" s="19"/>
      <c r="C503" s="19" t="s">
        <v>504</v>
      </c>
      <c r="D503" s="20" t="s">
        <v>505</v>
      </c>
      <c r="E503" s="9">
        <f>Source!AQ413</f>
        <v>0.3</v>
      </c>
      <c r="F503" s="22"/>
      <c r="G503" s="21" t="str">
        <f>Source!DI413</f>
        <v>)*2</v>
      </c>
      <c r="H503" s="9">
        <f>Source!AV413</f>
        <v>1</v>
      </c>
      <c r="I503" s="9"/>
      <c r="J503" s="22"/>
      <c r="K503" s="22">
        <f>Source!U413</f>
        <v>9</v>
      </c>
    </row>
    <row r="504" spans="1:22" ht="15" x14ac:dyDescent="0.25">
      <c r="A504" s="25"/>
      <c r="B504" s="25"/>
      <c r="C504" s="25"/>
      <c r="D504" s="25"/>
      <c r="E504" s="25"/>
      <c r="F504" s="25"/>
      <c r="G504" s="25"/>
      <c r="H504" s="25"/>
      <c r="I504" s="52">
        <f>J499+J500+J501+J502</f>
        <v>11632.5</v>
      </c>
      <c r="J504" s="52"/>
      <c r="K504" s="26">
        <f>IF(Source!I413&lt;&gt;0, ROUND(I504/Source!I413, 2), 0)</f>
        <v>775.5</v>
      </c>
      <c r="P504" s="24">
        <f>I504</f>
        <v>11632.5</v>
      </c>
    </row>
    <row r="505" spans="1:22" ht="71.25" x14ac:dyDescent="0.2">
      <c r="A505" s="19">
        <v>48</v>
      </c>
      <c r="B505" s="19" t="str">
        <f>Source!F415</f>
        <v>1.21-2303-19-1/1</v>
      </c>
      <c r="C505" s="19" t="str">
        <f>Source!G415</f>
        <v>Техническое обслуживание выключателей автоматических однополюсных установочных на номинальный ток до 63 А/             1р, Iн=10А</v>
      </c>
      <c r="D505" s="20" t="str">
        <f>Source!H415</f>
        <v>шт.</v>
      </c>
      <c r="E505" s="9">
        <f>Source!I415</f>
        <v>90</v>
      </c>
      <c r="F505" s="22"/>
      <c r="G505" s="21"/>
      <c r="H505" s="9"/>
      <c r="I505" s="9"/>
      <c r="J505" s="22"/>
      <c r="K505" s="22"/>
      <c r="Q505">
        <f>ROUND((Source!BZ415/100)*ROUND((Source!AF415*Source!AV415)*Source!I415, 2), 2)</f>
        <v>46682.37</v>
      </c>
      <c r="R505">
        <f>Source!X415</f>
        <v>46682.37</v>
      </c>
      <c r="S505">
        <f>ROUND((Source!CA415/100)*ROUND((Source!AF415*Source!AV415)*Source!I415, 2), 2)</f>
        <v>6668.91</v>
      </c>
      <c r="T505">
        <f>Source!Y415</f>
        <v>6668.91</v>
      </c>
      <c r="U505">
        <f>ROUND((175/100)*ROUND((Source!AE415*Source!AV415)*Source!I415, 2), 2)</f>
        <v>0</v>
      </c>
      <c r="V505">
        <f>ROUND((108/100)*ROUND(Source!CS415*Source!I415, 2), 2)</f>
        <v>0</v>
      </c>
    </row>
    <row r="506" spans="1:22" x14ac:dyDescent="0.2">
      <c r="C506" s="23" t="str">
        <f>"Объем: "&amp;Source!I415&amp;"=6*"&amp;"15"</f>
        <v>Объем: 90=6*15</v>
      </c>
    </row>
    <row r="507" spans="1:22" ht="14.25" x14ac:dyDescent="0.2">
      <c r="A507" s="19"/>
      <c r="B507" s="19"/>
      <c r="C507" s="19" t="s">
        <v>500</v>
      </c>
      <c r="D507" s="20"/>
      <c r="E507" s="9"/>
      <c r="F507" s="22">
        <f>Source!AO415</f>
        <v>740.99</v>
      </c>
      <c r="G507" s="21" t="str">
        <f>Source!DG415</f>
        <v/>
      </c>
      <c r="H507" s="9">
        <f>Source!AV415</f>
        <v>1</v>
      </c>
      <c r="I507" s="9">
        <f>IF(Source!BA415&lt;&gt; 0, Source!BA415, 1)</f>
        <v>1</v>
      </c>
      <c r="J507" s="22">
        <f>Source!S415</f>
        <v>66689.100000000006</v>
      </c>
      <c r="K507" s="22"/>
    </row>
    <row r="508" spans="1:22" ht="14.25" x14ac:dyDescent="0.2">
      <c r="A508" s="19"/>
      <c r="B508" s="19"/>
      <c r="C508" s="19" t="s">
        <v>508</v>
      </c>
      <c r="D508" s="20"/>
      <c r="E508" s="9"/>
      <c r="F508" s="22">
        <f>Source!AL415</f>
        <v>1.7</v>
      </c>
      <c r="G508" s="21" t="str">
        <f>Source!DD415</f>
        <v/>
      </c>
      <c r="H508" s="9">
        <f>Source!AW415</f>
        <v>1</v>
      </c>
      <c r="I508" s="9">
        <f>IF(Source!BC415&lt;&gt; 0, Source!BC415, 1)</f>
        <v>1</v>
      </c>
      <c r="J508" s="22">
        <f>Source!P415</f>
        <v>153</v>
      </c>
      <c r="K508" s="22"/>
    </row>
    <row r="509" spans="1:22" ht="14.25" x14ac:dyDescent="0.2">
      <c r="A509" s="19"/>
      <c r="B509" s="19"/>
      <c r="C509" s="19" t="s">
        <v>501</v>
      </c>
      <c r="D509" s="20" t="s">
        <v>502</v>
      </c>
      <c r="E509" s="9">
        <f>Source!AT415</f>
        <v>70</v>
      </c>
      <c r="F509" s="22"/>
      <c r="G509" s="21"/>
      <c r="H509" s="9"/>
      <c r="I509" s="9"/>
      <c r="J509" s="22">
        <f>SUM(R505:R508)</f>
        <v>46682.37</v>
      </c>
      <c r="K509" s="22"/>
    </row>
    <row r="510" spans="1:22" ht="14.25" x14ac:dyDescent="0.2">
      <c r="A510" s="19"/>
      <c r="B510" s="19"/>
      <c r="C510" s="19" t="s">
        <v>503</v>
      </c>
      <c r="D510" s="20" t="s">
        <v>502</v>
      </c>
      <c r="E510" s="9">
        <f>Source!AU415</f>
        <v>10</v>
      </c>
      <c r="F510" s="22"/>
      <c r="G510" s="21"/>
      <c r="H510" s="9"/>
      <c r="I510" s="9"/>
      <c r="J510" s="22">
        <f>SUM(T505:T509)</f>
        <v>6668.91</v>
      </c>
      <c r="K510" s="22"/>
    </row>
    <row r="511" spans="1:22" ht="14.25" x14ac:dyDescent="0.2">
      <c r="A511" s="19"/>
      <c r="B511" s="19"/>
      <c r="C511" s="19" t="s">
        <v>504</v>
      </c>
      <c r="D511" s="20" t="s">
        <v>505</v>
      </c>
      <c r="E511" s="9">
        <f>Source!AQ415</f>
        <v>1.2</v>
      </c>
      <c r="F511" s="22"/>
      <c r="G511" s="21" t="str">
        <f>Source!DI415</f>
        <v/>
      </c>
      <c r="H511" s="9">
        <f>Source!AV415</f>
        <v>1</v>
      </c>
      <c r="I511" s="9"/>
      <c r="J511" s="22"/>
      <c r="K511" s="22">
        <f>Source!U415</f>
        <v>108</v>
      </c>
    </row>
    <row r="512" spans="1:22" ht="15" x14ac:dyDescent="0.25">
      <c r="A512" s="25"/>
      <c r="B512" s="25"/>
      <c r="C512" s="25"/>
      <c r="D512" s="25"/>
      <c r="E512" s="25"/>
      <c r="F512" s="25"/>
      <c r="G512" s="25"/>
      <c r="H512" s="25"/>
      <c r="I512" s="52">
        <f>J507+J508+J509+J510</f>
        <v>120193.38</v>
      </c>
      <c r="J512" s="52"/>
      <c r="K512" s="26">
        <f>IF(Source!I415&lt;&gt;0, ROUND(I512/Source!I415, 2), 0)</f>
        <v>1335.48</v>
      </c>
      <c r="P512" s="24">
        <f>I512</f>
        <v>120193.38</v>
      </c>
    </row>
    <row r="513" spans="1:22" ht="71.25" x14ac:dyDescent="0.2">
      <c r="A513" s="19">
        <v>49</v>
      </c>
      <c r="B513" s="19" t="str">
        <f>Source!F417</f>
        <v>1.21-2303-19-1/1</v>
      </c>
      <c r="C513" s="19" t="str">
        <f>Source!G417</f>
        <v>Техническое обслуживание выключателей автоматических однополюсных установочных на номинальный ток до 63 А/             1р, Iн=16А</v>
      </c>
      <c r="D513" s="20" t="str">
        <f>Source!H417</f>
        <v>шт.</v>
      </c>
      <c r="E513" s="9">
        <f>Source!I417</f>
        <v>90</v>
      </c>
      <c r="F513" s="22"/>
      <c r="G513" s="21"/>
      <c r="H513" s="9"/>
      <c r="I513" s="9"/>
      <c r="J513" s="22"/>
      <c r="K513" s="22"/>
      <c r="Q513">
        <f>ROUND((Source!BZ417/100)*ROUND((Source!AF417*Source!AV417)*Source!I417, 2), 2)</f>
        <v>46682.37</v>
      </c>
      <c r="R513">
        <f>Source!X417</f>
        <v>46682.37</v>
      </c>
      <c r="S513">
        <f>ROUND((Source!CA417/100)*ROUND((Source!AF417*Source!AV417)*Source!I417, 2), 2)</f>
        <v>6668.91</v>
      </c>
      <c r="T513">
        <f>Source!Y417</f>
        <v>6668.91</v>
      </c>
      <c r="U513">
        <f>ROUND((175/100)*ROUND((Source!AE417*Source!AV417)*Source!I417, 2), 2)</f>
        <v>0</v>
      </c>
      <c r="V513">
        <f>ROUND((108/100)*ROUND(Source!CS417*Source!I417, 2), 2)</f>
        <v>0</v>
      </c>
    </row>
    <row r="514" spans="1:22" x14ac:dyDescent="0.2">
      <c r="C514" s="23" t="str">
        <f>"Объем: "&amp;Source!I417&amp;"=6*"&amp;"15"</f>
        <v>Объем: 90=6*15</v>
      </c>
    </row>
    <row r="515" spans="1:22" ht="14.25" x14ac:dyDescent="0.2">
      <c r="A515" s="19"/>
      <c r="B515" s="19"/>
      <c r="C515" s="19" t="s">
        <v>500</v>
      </c>
      <c r="D515" s="20"/>
      <c r="E515" s="9"/>
      <c r="F515" s="22">
        <f>Source!AO417</f>
        <v>740.99</v>
      </c>
      <c r="G515" s="21" t="str">
        <f>Source!DG417</f>
        <v/>
      </c>
      <c r="H515" s="9">
        <f>Source!AV417</f>
        <v>1</v>
      </c>
      <c r="I515" s="9">
        <f>IF(Source!BA417&lt;&gt; 0, Source!BA417, 1)</f>
        <v>1</v>
      </c>
      <c r="J515" s="22">
        <f>Source!S417</f>
        <v>66689.100000000006</v>
      </c>
      <c r="K515" s="22"/>
    </row>
    <row r="516" spans="1:22" ht="14.25" x14ac:dyDescent="0.2">
      <c r="A516" s="19"/>
      <c r="B516" s="19"/>
      <c r="C516" s="19" t="s">
        <v>508</v>
      </c>
      <c r="D516" s="20"/>
      <c r="E516" s="9"/>
      <c r="F516" s="22">
        <f>Source!AL417</f>
        <v>1.7</v>
      </c>
      <c r="G516" s="21" t="str">
        <f>Source!DD417</f>
        <v/>
      </c>
      <c r="H516" s="9">
        <f>Source!AW417</f>
        <v>1</v>
      </c>
      <c r="I516" s="9">
        <f>IF(Source!BC417&lt;&gt; 0, Source!BC417, 1)</f>
        <v>1</v>
      </c>
      <c r="J516" s="22">
        <f>Source!P417</f>
        <v>153</v>
      </c>
      <c r="K516" s="22"/>
    </row>
    <row r="517" spans="1:22" ht="14.25" x14ac:dyDescent="0.2">
      <c r="A517" s="19"/>
      <c r="B517" s="19"/>
      <c r="C517" s="19" t="s">
        <v>501</v>
      </c>
      <c r="D517" s="20" t="s">
        <v>502</v>
      </c>
      <c r="E517" s="9">
        <f>Source!AT417</f>
        <v>70</v>
      </c>
      <c r="F517" s="22"/>
      <c r="G517" s="21"/>
      <c r="H517" s="9"/>
      <c r="I517" s="9"/>
      <c r="J517" s="22">
        <f>SUM(R513:R516)</f>
        <v>46682.37</v>
      </c>
      <c r="K517" s="22"/>
    </row>
    <row r="518" spans="1:22" ht="14.25" x14ac:dyDescent="0.2">
      <c r="A518" s="19"/>
      <c r="B518" s="19"/>
      <c r="C518" s="19" t="s">
        <v>503</v>
      </c>
      <c r="D518" s="20" t="s">
        <v>502</v>
      </c>
      <c r="E518" s="9">
        <f>Source!AU417</f>
        <v>10</v>
      </c>
      <c r="F518" s="22"/>
      <c r="G518" s="21"/>
      <c r="H518" s="9"/>
      <c r="I518" s="9"/>
      <c r="J518" s="22">
        <f>SUM(T513:T517)</f>
        <v>6668.91</v>
      </c>
      <c r="K518" s="22"/>
    </row>
    <row r="519" spans="1:22" ht="14.25" x14ac:dyDescent="0.2">
      <c r="A519" s="19"/>
      <c r="B519" s="19"/>
      <c r="C519" s="19" t="s">
        <v>504</v>
      </c>
      <c r="D519" s="20" t="s">
        <v>505</v>
      </c>
      <c r="E519" s="9">
        <f>Source!AQ417</f>
        <v>1.2</v>
      </c>
      <c r="F519" s="22"/>
      <c r="G519" s="21" t="str">
        <f>Source!DI417</f>
        <v/>
      </c>
      <c r="H519" s="9">
        <f>Source!AV417</f>
        <v>1</v>
      </c>
      <c r="I519" s="9"/>
      <c r="J519" s="22"/>
      <c r="K519" s="22">
        <f>Source!U417</f>
        <v>108</v>
      </c>
    </row>
    <row r="520" spans="1:22" ht="15" x14ac:dyDescent="0.25">
      <c r="A520" s="25"/>
      <c r="B520" s="25"/>
      <c r="C520" s="25"/>
      <c r="D520" s="25"/>
      <c r="E520" s="25"/>
      <c r="F520" s="25"/>
      <c r="G520" s="25"/>
      <c r="H520" s="25"/>
      <c r="I520" s="52">
        <f>J515+J516+J517+J518</f>
        <v>120193.38</v>
      </c>
      <c r="J520" s="52"/>
      <c r="K520" s="26">
        <f>IF(Source!I417&lt;&gt;0, ROUND(I520/Source!I417, 2), 0)</f>
        <v>1335.48</v>
      </c>
      <c r="P520" s="24">
        <f>I520</f>
        <v>120193.38</v>
      </c>
    </row>
    <row r="521" spans="1:22" ht="71.25" x14ac:dyDescent="0.2">
      <c r="A521" s="19">
        <v>50</v>
      </c>
      <c r="B521" s="19" t="str">
        <f>Source!F418</f>
        <v>1.21-2303-28-1/1</v>
      </c>
      <c r="C521" s="19" t="str">
        <f>Source!G418</f>
        <v>Техническое обслуживание автоматического выключателя до 160 А / Дифференциальный автоматический выключатель, Iн=16А, Iдиф=30мА</v>
      </c>
      <c r="D521" s="20" t="str">
        <f>Source!H418</f>
        <v>шт.</v>
      </c>
      <c r="E521" s="9">
        <f>Source!I418</f>
        <v>30</v>
      </c>
      <c r="F521" s="22"/>
      <c r="G521" s="21"/>
      <c r="H521" s="9"/>
      <c r="I521" s="9"/>
      <c r="J521" s="22"/>
      <c r="K521" s="22"/>
      <c r="Q521">
        <f>ROUND((Source!BZ418/100)*ROUND((Source!AF418*Source!AV418)*Source!I418, 2), 2)</f>
        <v>8941.7999999999993</v>
      </c>
      <c r="R521">
        <f>Source!X418</f>
        <v>8941.7999999999993</v>
      </c>
      <c r="S521">
        <f>ROUND((Source!CA418/100)*ROUND((Source!AF418*Source!AV418)*Source!I418, 2), 2)</f>
        <v>1277.4000000000001</v>
      </c>
      <c r="T521">
        <f>Source!Y418</f>
        <v>1277.4000000000001</v>
      </c>
      <c r="U521">
        <f>ROUND((175/100)*ROUND((Source!AE418*Source!AV418)*Source!I418, 2), 2)</f>
        <v>0</v>
      </c>
      <c r="V521">
        <f>ROUND((108/100)*ROUND(Source!CS418*Source!I418, 2), 2)</f>
        <v>0</v>
      </c>
    </row>
    <row r="522" spans="1:22" x14ac:dyDescent="0.2">
      <c r="C522" s="23" t="str">
        <f>"Объем: "&amp;Source!I418&amp;"=2*"&amp;"15"</f>
        <v>Объем: 30=2*15</v>
      </c>
    </row>
    <row r="523" spans="1:22" ht="14.25" x14ac:dyDescent="0.2">
      <c r="A523" s="19"/>
      <c r="B523" s="19"/>
      <c r="C523" s="19" t="s">
        <v>500</v>
      </c>
      <c r="D523" s="20"/>
      <c r="E523" s="9"/>
      <c r="F523" s="22">
        <f>Source!AO418</f>
        <v>212.9</v>
      </c>
      <c r="G523" s="21" t="str">
        <f>Source!DG418</f>
        <v>)*2</v>
      </c>
      <c r="H523" s="9">
        <f>Source!AV418</f>
        <v>1</v>
      </c>
      <c r="I523" s="9">
        <f>IF(Source!BA418&lt;&gt; 0, Source!BA418, 1)</f>
        <v>1</v>
      </c>
      <c r="J523" s="22">
        <f>Source!S418</f>
        <v>12774</v>
      </c>
      <c r="K523" s="22"/>
    </row>
    <row r="524" spans="1:22" ht="14.25" x14ac:dyDescent="0.2">
      <c r="A524" s="19"/>
      <c r="B524" s="19"/>
      <c r="C524" s="19" t="s">
        <v>508</v>
      </c>
      <c r="D524" s="20"/>
      <c r="E524" s="9"/>
      <c r="F524" s="22">
        <f>Source!AL418</f>
        <v>4.53</v>
      </c>
      <c r="G524" s="21" t="str">
        <f>Source!DD418</f>
        <v>)*2</v>
      </c>
      <c r="H524" s="9">
        <f>Source!AW418</f>
        <v>1</v>
      </c>
      <c r="I524" s="9">
        <f>IF(Source!BC418&lt;&gt; 0, Source!BC418, 1)</f>
        <v>1</v>
      </c>
      <c r="J524" s="22">
        <f>Source!P418</f>
        <v>271.8</v>
      </c>
      <c r="K524" s="22"/>
    </row>
    <row r="525" spans="1:22" ht="14.25" x14ac:dyDescent="0.2">
      <c r="A525" s="19"/>
      <c r="B525" s="19"/>
      <c r="C525" s="19" t="s">
        <v>501</v>
      </c>
      <c r="D525" s="20" t="s">
        <v>502</v>
      </c>
      <c r="E525" s="9">
        <f>Source!AT418</f>
        <v>70</v>
      </c>
      <c r="F525" s="22"/>
      <c r="G525" s="21"/>
      <c r="H525" s="9"/>
      <c r="I525" s="9"/>
      <c r="J525" s="22">
        <f>SUM(R521:R524)</f>
        <v>8941.7999999999993</v>
      </c>
      <c r="K525" s="22"/>
    </row>
    <row r="526" spans="1:22" ht="14.25" x14ac:dyDescent="0.2">
      <c r="A526" s="19"/>
      <c r="B526" s="19"/>
      <c r="C526" s="19" t="s">
        <v>503</v>
      </c>
      <c r="D526" s="20" t="s">
        <v>502</v>
      </c>
      <c r="E526" s="9">
        <f>Source!AU418</f>
        <v>10</v>
      </c>
      <c r="F526" s="22"/>
      <c r="G526" s="21"/>
      <c r="H526" s="9"/>
      <c r="I526" s="9"/>
      <c r="J526" s="22">
        <f>SUM(T521:T525)</f>
        <v>1277.4000000000001</v>
      </c>
      <c r="K526" s="22"/>
    </row>
    <row r="527" spans="1:22" ht="14.25" x14ac:dyDescent="0.2">
      <c r="A527" s="19"/>
      <c r="B527" s="19"/>
      <c r="C527" s="19" t="s">
        <v>504</v>
      </c>
      <c r="D527" s="20" t="s">
        <v>505</v>
      </c>
      <c r="E527" s="9">
        <f>Source!AQ418</f>
        <v>0.3</v>
      </c>
      <c r="F527" s="22"/>
      <c r="G527" s="21" t="str">
        <f>Source!DI418</f>
        <v>)*2</v>
      </c>
      <c r="H527" s="9">
        <f>Source!AV418</f>
        <v>1</v>
      </c>
      <c r="I527" s="9"/>
      <c r="J527" s="22"/>
      <c r="K527" s="22">
        <f>Source!U418</f>
        <v>18</v>
      </c>
    </row>
    <row r="528" spans="1:22" ht="15" x14ac:dyDescent="0.25">
      <c r="A528" s="25"/>
      <c r="B528" s="25"/>
      <c r="C528" s="25"/>
      <c r="D528" s="25"/>
      <c r="E528" s="25"/>
      <c r="F528" s="25"/>
      <c r="G528" s="25"/>
      <c r="H528" s="25"/>
      <c r="I528" s="52">
        <f>J523+J524+J525+J526</f>
        <v>23265</v>
      </c>
      <c r="J528" s="52"/>
      <c r="K528" s="26">
        <f>IF(Source!I418&lt;&gt;0, ROUND(I528/Source!I418, 2), 0)</f>
        <v>775.5</v>
      </c>
      <c r="P528" s="24">
        <f>I528</f>
        <v>23265</v>
      </c>
    </row>
    <row r="530" spans="1:22" ht="15" customHeight="1" x14ac:dyDescent="0.25">
      <c r="B530" s="55" t="str">
        <f>Source!G419</f>
        <v>Светильники:</v>
      </c>
      <c r="C530" s="55"/>
      <c r="D530" s="55"/>
      <c r="E530" s="55"/>
      <c r="F530" s="55"/>
      <c r="G530" s="55"/>
      <c r="H530" s="55"/>
      <c r="I530" s="55"/>
      <c r="J530" s="55"/>
    </row>
    <row r="531" spans="1:22" ht="93.75" x14ac:dyDescent="0.2">
      <c r="A531" s="19">
        <v>51</v>
      </c>
      <c r="B531" s="19" t="s">
        <v>510</v>
      </c>
      <c r="C531" s="19" t="s">
        <v>514</v>
      </c>
      <c r="D531" s="20" t="str">
        <f>Source!H420</f>
        <v>шт.</v>
      </c>
      <c r="E531" s="9">
        <f>Source!I420</f>
        <v>60</v>
      </c>
      <c r="F531" s="22"/>
      <c r="G531" s="21"/>
      <c r="H531" s="9"/>
      <c r="I531" s="9"/>
      <c r="J531" s="22"/>
      <c r="K531" s="22"/>
      <c r="Q531">
        <f>ROUND((Source!BZ420/100)*ROUND((Source!AF420*Source!AV420)*Source!I420, 2), 2)</f>
        <v>9822.32</v>
      </c>
      <c r="R531">
        <f>Source!X420</f>
        <v>9822.32</v>
      </c>
      <c r="S531">
        <f>ROUND((Source!CA420/100)*ROUND((Source!AF420*Source!AV420)*Source!I420, 2), 2)</f>
        <v>1403.19</v>
      </c>
      <c r="T531">
        <f>Source!Y420</f>
        <v>1403.19</v>
      </c>
      <c r="U531">
        <f>ROUND((175/100)*ROUND((Source!AE420*Source!AV420)*Source!I420, 2), 2)</f>
        <v>0</v>
      </c>
      <c r="V531">
        <f>ROUND((108/100)*ROUND(Source!CS420*Source!I420, 2), 2)</f>
        <v>0</v>
      </c>
    </row>
    <row r="532" spans="1:22" x14ac:dyDescent="0.2">
      <c r="C532" s="23" t="str">
        <f>"Объем: "&amp;Source!I420&amp;"=4*"&amp;"15"</f>
        <v>Объем: 60=4*15</v>
      </c>
    </row>
    <row r="533" spans="1:22" ht="14.25" x14ac:dyDescent="0.2">
      <c r="A533" s="19"/>
      <c r="B533" s="19"/>
      <c r="C533" s="19" t="s">
        <v>500</v>
      </c>
      <c r="D533" s="20"/>
      <c r="E533" s="9"/>
      <c r="F533" s="22">
        <f>Source!AO420</f>
        <v>224.87</v>
      </c>
      <c r="G533" s="21" t="str">
        <f>Source!DG420</f>
        <v>)*1,04</v>
      </c>
      <c r="H533" s="9">
        <f>Source!AV420</f>
        <v>1</v>
      </c>
      <c r="I533" s="9">
        <f>IF(Source!BA420&lt;&gt; 0, Source!BA420, 1)</f>
        <v>1</v>
      </c>
      <c r="J533" s="22">
        <f>Source!S420</f>
        <v>14031.89</v>
      </c>
      <c r="K533" s="22"/>
    </row>
    <row r="534" spans="1:22" ht="14.25" x14ac:dyDescent="0.2">
      <c r="A534" s="19"/>
      <c r="B534" s="19"/>
      <c r="C534" s="19" t="s">
        <v>508</v>
      </c>
      <c r="D534" s="20"/>
      <c r="E534" s="9"/>
      <c r="F534" s="22">
        <f>Source!AL420</f>
        <v>1.26</v>
      </c>
      <c r="G534" s="21" t="str">
        <f>Source!DD420</f>
        <v/>
      </c>
      <c r="H534" s="9">
        <f>Source!AW420</f>
        <v>1</v>
      </c>
      <c r="I534" s="9">
        <f>IF(Source!BC420&lt;&gt; 0, Source!BC420, 1)</f>
        <v>1</v>
      </c>
      <c r="J534" s="22">
        <f>Source!P420</f>
        <v>75.599999999999994</v>
      </c>
      <c r="K534" s="22"/>
    </row>
    <row r="535" spans="1:22" ht="14.25" x14ac:dyDescent="0.2">
      <c r="A535" s="19"/>
      <c r="B535" s="19"/>
      <c r="C535" s="19" t="s">
        <v>501</v>
      </c>
      <c r="D535" s="20" t="s">
        <v>502</v>
      </c>
      <c r="E535" s="9">
        <f>Source!AT420</f>
        <v>70</v>
      </c>
      <c r="F535" s="22"/>
      <c r="G535" s="21"/>
      <c r="H535" s="9"/>
      <c r="I535" s="9"/>
      <c r="J535" s="22">
        <f>SUM(R531:R534)</f>
        <v>9822.32</v>
      </c>
      <c r="K535" s="22"/>
    </row>
    <row r="536" spans="1:22" ht="14.25" x14ac:dyDescent="0.2">
      <c r="A536" s="19"/>
      <c r="B536" s="19"/>
      <c r="C536" s="19" t="s">
        <v>503</v>
      </c>
      <c r="D536" s="20" t="s">
        <v>502</v>
      </c>
      <c r="E536" s="9">
        <f>Source!AU420</f>
        <v>10</v>
      </c>
      <c r="F536" s="22"/>
      <c r="G536" s="21"/>
      <c r="H536" s="9"/>
      <c r="I536" s="9"/>
      <c r="J536" s="22">
        <f>SUM(T531:T535)</f>
        <v>1403.19</v>
      </c>
      <c r="K536" s="22"/>
    </row>
    <row r="537" spans="1:22" ht="14.25" x14ac:dyDescent="0.2">
      <c r="A537" s="19"/>
      <c r="B537" s="19"/>
      <c r="C537" s="19" t="s">
        <v>504</v>
      </c>
      <c r="D537" s="20" t="s">
        <v>505</v>
      </c>
      <c r="E537" s="9">
        <f>Source!AQ420</f>
        <v>0.4</v>
      </c>
      <c r="F537" s="22"/>
      <c r="G537" s="21" t="str">
        <f>Source!DI420</f>
        <v>)*1,04</v>
      </c>
      <c r="H537" s="9">
        <f>Source!AV420</f>
        <v>1</v>
      </c>
      <c r="I537" s="9"/>
      <c r="J537" s="22"/>
      <c r="K537" s="22">
        <f>Source!U420</f>
        <v>24.96</v>
      </c>
    </row>
    <row r="538" spans="1:22" ht="15" x14ac:dyDescent="0.25">
      <c r="A538" s="25"/>
      <c r="B538" s="25"/>
      <c r="C538" s="25"/>
      <c r="D538" s="25"/>
      <c r="E538" s="25"/>
      <c r="F538" s="25"/>
      <c r="G538" s="25"/>
      <c r="H538" s="25"/>
      <c r="I538" s="52">
        <f>J533+J534+J535+J536</f>
        <v>25332.999999999996</v>
      </c>
      <c r="J538" s="52"/>
      <c r="K538" s="26">
        <f>IF(Source!I420&lt;&gt;0, ROUND(I538/Source!I420, 2), 0)</f>
        <v>422.22</v>
      </c>
      <c r="P538" s="24">
        <f>I538</f>
        <v>25332.999999999996</v>
      </c>
    </row>
    <row r="539" spans="1:22" ht="165" x14ac:dyDescent="0.2">
      <c r="A539" s="19">
        <v>52</v>
      </c>
      <c r="B539" s="19" t="s">
        <v>515</v>
      </c>
      <c r="C539" s="19" t="s">
        <v>516</v>
      </c>
      <c r="D539" s="20" t="str">
        <f>Source!H421</f>
        <v>шт.</v>
      </c>
      <c r="E539" s="9">
        <f>Source!I421</f>
        <v>135</v>
      </c>
      <c r="F539" s="22"/>
      <c r="G539" s="21"/>
      <c r="H539" s="9"/>
      <c r="I539" s="9"/>
      <c r="J539" s="22"/>
      <c r="K539" s="22"/>
      <c r="Q539">
        <f>ROUND((Source!BZ421/100)*ROUND((Source!AF421*Source!AV421)*Source!I421, 2), 2)</f>
        <v>9944.9599999999991</v>
      </c>
      <c r="R539">
        <f>Source!X421</f>
        <v>9944.9599999999991</v>
      </c>
      <c r="S539">
        <f>ROUND((Source!CA421/100)*ROUND((Source!AF421*Source!AV421)*Source!I421, 2), 2)</f>
        <v>1420.71</v>
      </c>
      <c r="T539">
        <f>Source!Y421</f>
        <v>1420.71</v>
      </c>
      <c r="U539">
        <f>ROUND((175/100)*ROUND((Source!AE421*Source!AV421)*Source!I421, 2), 2)</f>
        <v>0</v>
      </c>
      <c r="V539">
        <f>ROUND((108/100)*ROUND(Source!CS421*Source!I421, 2), 2)</f>
        <v>0</v>
      </c>
    </row>
    <row r="540" spans="1:22" x14ac:dyDescent="0.2">
      <c r="C540" s="23" t="str">
        <f>"Объем: "&amp;Source!I421&amp;"=9*"&amp;"15"</f>
        <v>Объем: 135=9*15</v>
      </c>
    </row>
    <row r="541" spans="1:22" ht="14.25" x14ac:dyDescent="0.2">
      <c r="A541" s="19"/>
      <c r="B541" s="19"/>
      <c r="C541" s="19" t="s">
        <v>500</v>
      </c>
      <c r="D541" s="20"/>
      <c r="E541" s="9"/>
      <c r="F541" s="22">
        <f>Source!AO421</f>
        <v>101.19</v>
      </c>
      <c r="G541" s="21" t="str">
        <f>Source!DG421</f>
        <v>)*1,04</v>
      </c>
      <c r="H541" s="9">
        <f>Source!AV421</f>
        <v>1</v>
      </c>
      <c r="I541" s="9">
        <f>IF(Source!BA421&lt;&gt; 0, Source!BA421, 1)</f>
        <v>1</v>
      </c>
      <c r="J541" s="22">
        <f>Source!S421</f>
        <v>14207.08</v>
      </c>
      <c r="K541" s="22"/>
    </row>
    <row r="542" spans="1:22" ht="14.25" x14ac:dyDescent="0.2">
      <c r="A542" s="19"/>
      <c r="B542" s="19"/>
      <c r="C542" s="19" t="s">
        <v>508</v>
      </c>
      <c r="D542" s="20"/>
      <c r="E542" s="9"/>
      <c r="F542" s="22">
        <f>Source!AL421</f>
        <v>1.26</v>
      </c>
      <c r="G542" s="21" t="str">
        <f>Source!DD421</f>
        <v/>
      </c>
      <c r="H542" s="9">
        <f>Source!AW421</f>
        <v>1</v>
      </c>
      <c r="I542" s="9">
        <f>IF(Source!BC421&lt;&gt; 0, Source!BC421, 1)</f>
        <v>1</v>
      </c>
      <c r="J542" s="22">
        <f>Source!P421</f>
        <v>170.1</v>
      </c>
      <c r="K542" s="22"/>
    </row>
    <row r="543" spans="1:22" ht="14.25" x14ac:dyDescent="0.2">
      <c r="A543" s="19"/>
      <c r="B543" s="19"/>
      <c r="C543" s="19" t="s">
        <v>501</v>
      </c>
      <c r="D543" s="20" t="s">
        <v>502</v>
      </c>
      <c r="E543" s="9">
        <f>Source!AT421</f>
        <v>70</v>
      </c>
      <c r="F543" s="22"/>
      <c r="G543" s="21"/>
      <c r="H543" s="9"/>
      <c r="I543" s="9"/>
      <c r="J543" s="22">
        <f>SUM(R539:R542)</f>
        <v>9944.9599999999991</v>
      </c>
      <c r="K543" s="22"/>
    </row>
    <row r="544" spans="1:22" ht="14.25" x14ac:dyDescent="0.2">
      <c r="A544" s="19"/>
      <c r="B544" s="19"/>
      <c r="C544" s="19" t="s">
        <v>503</v>
      </c>
      <c r="D544" s="20" t="s">
        <v>502</v>
      </c>
      <c r="E544" s="9">
        <f>Source!AU421</f>
        <v>10</v>
      </c>
      <c r="F544" s="22"/>
      <c r="G544" s="21"/>
      <c r="H544" s="9"/>
      <c r="I544" s="9"/>
      <c r="J544" s="22">
        <f>SUM(T539:T543)</f>
        <v>1420.71</v>
      </c>
      <c r="K544" s="22"/>
    </row>
    <row r="545" spans="1:22" ht="14.25" x14ac:dyDescent="0.2">
      <c r="A545" s="19"/>
      <c r="B545" s="19"/>
      <c r="C545" s="19" t="s">
        <v>504</v>
      </c>
      <c r="D545" s="20" t="s">
        <v>505</v>
      </c>
      <c r="E545" s="9">
        <f>Source!AQ421</f>
        <v>0.18</v>
      </c>
      <c r="F545" s="22"/>
      <c r="G545" s="21" t="str">
        <f>Source!DI421</f>
        <v>)*1,04</v>
      </c>
      <c r="H545" s="9">
        <f>Source!AV421</f>
        <v>1</v>
      </c>
      <c r="I545" s="9"/>
      <c r="J545" s="22"/>
      <c r="K545" s="22">
        <f>Source!U421</f>
        <v>25.272000000000002</v>
      </c>
    </row>
    <row r="546" spans="1:22" ht="15" x14ac:dyDescent="0.25">
      <c r="A546" s="25"/>
      <c r="B546" s="25"/>
      <c r="C546" s="25"/>
      <c r="D546" s="25"/>
      <c r="E546" s="25"/>
      <c r="F546" s="25"/>
      <c r="G546" s="25"/>
      <c r="H546" s="25"/>
      <c r="I546" s="52">
        <f>J541+J542+J543+J544</f>
        <v>25742.85</v>
      </c>
      <c r="J546" s="52"/>
      <c r="K546" s="26">
        <f>IF(Source!I421&lt;&gt;0, ROUND(I546/Source!I421, 2), 0)</f>
        <v>190.69</v>
      </c>
      <c r="P546" s="24">
        <f>I546</f>
        <v>25742.85</v>
      </c>
    </row>
    <row r="547" spans="1:22" ht="179.25" x14ac:dyDescent="0.2">
      <c r="A547" s="19">
        <v>53</v>
      </c>
      <c r="B547" s="19" t="s">
        <v>512</v>
      </c>
      <c r="C547" s="19" t="s">
        <v>517</v>
      </c>
      <c r="D547" s="20" t="str">
        <f>Source!H422</f>
        <v>шт.</v>
      </c>
      <c r="E547" s="9">
        <f>Source!I422</f>
        <v>15</v>
      </c>
      <c r="F547" s="22"/>
      <c r="G547" s="21"/>
      <c r="H547" s="9"/>
      <c r="I547" s="9"/>
      <c r="J547" s="22"/>
      <c r="K547" s="22"/>
      <c r="Q547">
        <f>ROUND((Source!BZ422/100)*ROUND((Source!AF422*Source!AV422)*Source!I422, 2), 2)</f>
        <v>1841.66</v>
      </c>
      <c r="R547">
        <f>Source!X422</f>
        <v>1841.66</v>
      </c>
      <c r="S547">
        <f>ROUND((Source!CA422/100)*ROUND((Source!AF422*Source!AV422)*Source!I422, 2), 2)</f>
        <v>263.08999999999997</v>
      </c>
      <c r="T547">
        <f>Source!Y422</f>
        <v>263.08999999999997</v>
      </c>
      <c r="U547">
        <f>ROUND((175/100)*ROUND((Source!AE422*Source!AV422)*Source!I422, 2), 2)</f>
        <v>0</v>
      </c>
      <c r="V547">
        <f>ROUND((108/100)*ROUND(Source!CS422*Source!I422, 2), 2)</f>
        <v>0</v>
      </c>
    </row>
    <row r="548" spans="1:22" x14ac:dyDescent="0.2">
      <c r="C548" s="23" t="str">
        <f>"Объем: "&amp;Source!I422&amp;"=1*"&amp;"15"</f>
        <v>Объем: 15=1*15</v>
      </c>
    </row>
    <row r="549" spans="1:22" ht="14.25" x14ac:dyDescent="0.2">
      <c r="A549" s="19"/>
      <c r="B549" s="19"/>
      <c r="C549" s="19" t="s">
        <v>500</v>
      </c>
      <c r="D549" s="20"/>
      <c r="E549" s="9"/>
      <c r="F549" s="22">
        <f>Source!AO422</f>
        <v>168.65</v>
      </c>
      <c r="G549" s="21" t="str">
        <f>Source!DG422</f>
        <v>)*1,04</v>
      </c>
      <c r="H549" s="9">
        <f>Source!AV422</f>
        <v>1</v>
      </c>
      <c r="I549" s="9">
        <f>IF(Source!BA422&lt;&gt; 0, Source!BA422, 1)</f>
        <v>1</v>
      </c>
      <c r="J549" s="22">
        <f>Source!S422</f>
        <v>2630.94</v>
      </c>
      <c r="K549" s="22"/>
    </row>
    <row r="550" spans="1:22" ht="14.25" x14ac:dyDescent="0.2">
      <c r="A550" s="19"/>
      <c r="B550" s="19"/>
      <c r="C550" s="19" t="s">
        <v>508</v>
      </c>
      <c r="D550" s="20"/>
      <c r="E550" s="9"/>
      <c r="F550" s="22">
        <f>Source!AL422</f>
        <v>0.63</v>
      </c>
      <c r="G550" s="21" t="str">
        <f>Source!DD422</f>
        <v/>
      </c>
      <c r="H550" s="9">
        <f>Source!AW422</f>
        <v>1</v>
      </c>
      <c r="I550" s="9">
        <f>IF(Source!BC422&lt;&gt; 0, Source!BC422, 1)</f>
        <v>1</v>
      </c>
      <c r="J550" s="22">
        <f>Source!P422</f>
        <v>9.4499999999999993</v>
      </c>
      <c r="K550" s="22"/>
    </row>
    <row r="551" spans="1:22" ht="14.25" x14ac:dyDescent="0.2">
      <c r="A551" s="19"/>
      <c r="B551" s="19"/>
      <c r="C551" s="19" t="s">
        <v>501</v>
      </c>
      <c r="D551" s="20" t="s">
        <v>502</v>
      </c>
      <c r="E551" s="9">
        <f>Source!AT422</f>
        <v>70</v>
      </c>
      <c r="F551" s="22"/>
      <c r="G551" s="21"/>
      <c r="H551" s="9"/>
      <c r="I551" s="9"/>
      <c r="J551" s="22">
        <f>SUM(R547:R550)</f>
        <v>1841.66</v>
      </c>
      <c r="K551" s="22"/>
    </row>
    <row r="552" spans="1:22" ht="14.25" x14ac:dyDescent="0.2">
      <c r="A552" s="19"/>
      <c r="B552" s="19"/>
      <c r="C552" s="19" t="s">
        <v>503</v>
      </c>
      <c r="D552" s="20" t="s">
        <v>502</v>
      </c>
      <c r="E552" s="9">
        <f>Source!AU422</f>
        <v>10</v>
      </c>
      <c r="F552" s="22"/>
      <c r="G552" s="21"/>
      <c r="H552" s="9"/>
      <c r="I552" s="9"/>
      <c r="J552" s="22">
        <f>SUM(T547:T551)</f>
        <v>263.08999999999997</v>
      </c>
      <c r="K552" s="22"/>
    </row>
    <row r="553" spans="1:22" ht="14.25" x14ac:dyDescent="0.2">
      <c r="A553" s="19"/>
      <c r="B553" s="19"/>
      <c r="C553" s="19" t="s">
        <v>504</v>
      </c>
      <c r="D553" s="20" t="s">
        <v>505</v>
      </c>
      <c r="E553" s="9">
        <f>Source!AQ422</f>
        <v>0.3</v>
      </c>
      <c r="F553" s="22"/>
      <c r="G553" s="21" t="str">
        <f>Source!DI422</f>
        <v>)*1,04</v>
      </c>
      <c r="H553" s="9">
        <f>Source!AV422</f>
        <v>1</v>
      </c>
      <c r="I553" s="9"/>
      <c r="J553" s="22"/>
      <c r="K553" s="22">
        <f>Source!U422</f>
        <v>4.68</v>
      </c>
    </row>
    <row r="554" spans="1:22" ht="15" x14ac:dyDescent="0.25">
      <c r="A554" s="25"/>
      <c r="B554" s="25"/>
      <c r="C554" s="25"/>
      <c r="D554" s="25"/>
      <c r="E554" s="25"/>
      <c r="F554" s="25"/>
      <c r="G554" s="25"/>
      <c r="H554" s="25"/>
      <c r="I554" s="52">
        <f>J549+J550+J551+J552</f>
        <v>4745.1400000000003</v>
      </c>
      <c r="J554" s="52"/>
      <c r="K554" s="26">
        <f>IF(Source!I422&lt;&gt;0, ROUND(I554/Source!I422, 2), 0)</f>
        <v>316.33999999999997</v>
      </c>
      <c r="P554" s="24">
        <f>I554</f>
        <v>4745.1400000000003</v>
      </c>
    </row>
    <row r="556" spans="1:22" ht="15" customHeight="1" x14ac:dyDescent="0.25">
      <c r="B556" s="55" t="str">
        <f>Source!G423</f>
        <v>Электроустановочные изделия</v>
      </c>
      <c r="C556" s="55"/>
      <c r="D556" s="55"/>
      <c r="E556" s="55"/>
      <c r="F556" s="55"/>
      <c r="G556" s="55"/>
      <c r="H556" s="55"/>
      <c r="I556" s="55"/>
      <c r="J556" s="55"/>
    </row>
    <row r="557" spans="1:22" ht="57" x14ac:dyDescent="0.2">
      <c r="A557" s="19">
        <v>54</v>
      </c>
      <c r="B557" s="19" t="str">
        <f>Source!F424</f>
        <v>1.23-2103-6-1/1</v>
      </c>
      <c r="C557" s="19" t="str">
        <f>Source!G424</f>
        <v>Техническое обслуживание выключателей поплавковых / Выключатель одноклавишный Ном. ток 10 А. Ном. напр.: 250 В.</v>
      </c>
      <c r="D557" s="20" t="str">
        <f>Source!H424</f>
        <v>100 шт.</v>
      </c>
      <c r="E557" s="9">
        <f>Source!I424</f>
        <v>1.05</v>
      </c>
      <c r="F557" s="22"/>
      <c r="G557" s="21"/>
      <c r="H557" s="9"/>
      <c r="I557" s="9"/>
      <c r="J557" s="22"/>
      <c r="K557" s="22"/>
      <c r="Q557">
        <f>ROUND((Source!BZ424/100)*ROUND((Source!AF424*Source!AV424)*Source!I424, 2), 2)</f>
        <v>9442.9599999999991</v>
      </c>
      <c r="R557">
        <f>Source!X424</f>
        <v>9442.9599999999991</v>
      </c>
      <c r="S557">
        <f>ROUND((Source!CA424/100)*ROUND((Source!AF424*Source!AV424)*Source!I424, 2), 2)</f>
        <v>1348.99</v>
      </c>
      <c r="T557">
        <f>Source!Y424</f>
        <v>1348.99</v>
      </c>
      <c r="U557">
        <f>ROUND((175/100)*ROUND((Source!AE424*Source!AV424)*Source!I424, 2), 2)</f>
        <v>4250.8</v>
      </c>
      <c r="V557">
        <f>ROUND((108/100)*ROUND(Source!CS424*Source!I424, 2), 2)</f>
        <v>2623.35</v>
      </c>
    </row>
    <row r="558" spans="1:22" x14ac:dyDescent="0.2">
      <c r="C558" s="23" t="str">
        <f>"Объем: "&amp;Source!I424&amp;"=(5+"&amp;"2)*"&amp;"15/"&amp;"100"</f>
        <v>Объем: 1,05=(5+2)*15/100</v>
      </c>
    </row>
    <row r="559" spans="1:22" ht="14.25" x14ac:dyDescent="0.2">
      <c r="A559" s="19"/>
      <c r="B559" s="19"/>
      <c r="C559" s="19" t="s">
        <v>500</v>
      </c>
      <c r="D559" s="20"/>
      <c r="E559" s="9"/>
      <c r="F559" s="22">
        <f>Source!AO424</f>
        <v>3211.89</v>
      </c>
      <c r="G559" s="21" t="str">
        <f>Source!DG424</f>
        <v>)*4</v>
      </c>
      <c r="H559" s="9">
        <f>Source!AV424</f>
        <v>1</v>
      </c>
      <c r="I559" s="9">
        <f>IF(Source!BA424&lt;&gt; 0, Source!BA424, 1)</f>
        <v>1</v>
      </c>
      <c r="J559" s="22">
        <f>Source!S424</f>
        <v>13489.94</v>
      </c>
      <c r="K559" s="22"/>
    </row>
    <row r="560" spans="1:22" ht="14.25" x14ac:dyDescent="0.2">
      <c r="A560" s="19"/>
      <c r="B560" s="19"/>
      <c r="C560" s="19" t="s">
        <v>506</v>
      </c>
      <c r="D560" s="20"/>
      <c r="E560" s="9"/>
      <c r="F560" s="22">
        <f>Source!AM424</f>
        <v>912.11</v>
      </c>
      <c r="G560" s="21" t="str">
        <f>Source!DE424</f>
        <v>)*4</v>
      </c>
      <c r="H560" s="9">
        <f>Source!AV424</f>
        <v>1</v>
      </c>
      <c r="I560" s="9">
        <f>IF(Source!BB424&lt;&gt; 0, Source!BB424, 1)</f>
        <v>1</v>
      </c>
      <c r="J560" s="22">
        <f>Source!Q424</f>
        <v>3830.86</v>
      </c>
      <c r="K560" s="22"/>
    </row>
    <row r="561" spans="1:22" ht="14.25" x14ac:dyDescent="0.2">
      <c r="A561" s="19"/>
      <c r="B561" s="19"/>
      <c r="C561" s="19" t="s">
        <v>507</v>
      </c>
      <c r="D561" s="20"/>
      <c r="E561" s="9"/>
      <c r="F561" s="22">
        <f>Source!AN424</f>
        <v>578.34</v>
      </c>
      <c r="G561" s="21" t="str">
        <f>Source!DF424</f>
        <v>)*4</v>
      </c>
      <c r="H561" s="9">
        <f>Source!AV424</f>
        <v>1</v>
      </c>
      <c r="I561" s="9">
        <f>IF(Source!BS424&lt;&gt; 0, Source!BS424, 1)</f>
        <v>1</v>
      </c>
      <c r="J561" s="27">
        <f>Source!R424</f>
        <v>2429.0300000000002</v>
      </c>
      <c r="K561" s="22"/>
    </row>
    <row r="562" spans="1:22" ht="14.25" x14ac:dyDescent="0.2">
      <c r="A562" s="19"/>
      <c r="B562" s="19"/>
      <c r="C562" s="19" t="s">
        <v>508</v>
      </c>
      <c r="D562" s="20"/>
      <c r="E562" s="9"/>
      <c r="F562" s="22">
        <f>Source!AL424</f>
        <v>0.94</v>
      </c>
      <c r="G562" s="21" t="str">
        <f>Source!DD424</f>
        <v>)*4</v>
      </c>
      <c r="H562" s="9">
        <f>Source!AW424</f>
        <v>1</v>
      </c>
      <c r="I562" s="9">
        <f>IF(Source!BC424&lt;&gt; 0, Source!BC424, 1)</f>
        <v>1</v>
      </c>
      <c r="J562" s="22">
        <f>Source!P424</f>
        <v>3.95</v>
      </c>
      <c r="K562" s="22"/>
    </row>
    <row r="563" spans="1:22" ht="14.25" x14ac:dyDescent="0.2">
      <c r="A563" s="19"/>
      <c r="B563" s="19"/>
      <c r="C563" s="19" t="s">
        <v>501</v>
      </c>
      <c r="D563" s="20" t="s">
        <v>502</v>
      </c>
      <c r="E563" s="9">
        <f>Source!AT424</f>
        <v>70</v>
      </c>
      <c r="F563" s="22"/>
      <c r="G563" s="21"/>
      <c r="H563" s="9"/>
      <c r="I563" s="9"/>
      <c r="J563" s="22">
        <f>SUM(R557:R562)</f>
        <v>9442.9599999999991</v>
      </c>
      <c r="K563" s="22"/>
    </row>
    <row r="564" spans="1:22" ht="14.25" x14ac:dyDescent="0.2">
      <c r="A564" s="19"/>
      <c r="B564" s="19"/>
      <c r="C564" s="19" t="s">
        <v>503</v>
      </c>
      <c r="D564" s="20" t="s">
        <v>502</v>
      </c>
      <c r="E564" s="9">
        <f>Source!AU424</f>
        <v>10</v>
      </c>
      <c r="F564" s="22"/>
      <c r="G564" s="21"/>
      <c r="H564" s="9"/>
      <c r="I564" s="9"/>
      <c r="J564" s="22">
        <f>SUM(T557:T563)</f>
        <v>1348.99</v>
      </c>
      <c r="K564" s="22"/>
    </row>
    <row r="565" spans="1:22" ht="14.25" x14ac:dyDescent="0.2">
      <c r="A565" s="19"/>
      <c r="B565" s="19"/>
      <c r="C565" s="19" t="s">
        <v>509</v>
      </c>
      <c r="D565" s="20" t="s">
        <v>502</v>
      </c>
      <c r="E565" s="9">
        <f>108</f>
        <v>108</v>
      </c>
      <c r="F565" s="22"/>
      <c r="G565" s="21"/>
      <c r="H565" s="9"/>
      <c r="I565" s="9"/>
      <c r="J565" s="22">
        <f>SUM(V557:V564)</f>
        <v>2623.35</v>
      </c>
      <c r="K565" s="22"/>
    </row>
    <row r="566" spans="1:22" ht="14.25" x14ac:dyDescent="0.2">
      <c r="A566" s="19"/>
      <c r="B566" s="19"/>
      <c r="C566" s="19" t="s">
        <v>504</v>
      </c>
      <c r="D566" s="20" t="s">
        <v>505</v>
      </c>
      <c r="E566" s="9">
        <f>Source!AQ424</f>
        <v>6</v>
      </c>
      <c r="F566" s="22"/>
      <c r="G566" s="21" t="str">
        <f>Source!DI424</f>
        <v>)*4</v>
      </c>
      <c r="H566" s="9">
        <f>Source!AV424</f>
        <v>1</v>
      </c>
      <c r="I566" s="9"/>
      <c r="J566" s="22"/>
      <c r="K566" s="22">
        <f>Source!U424</f>
        <v>25.200000000000003</v>
      </c>
    </row>
    <row r="567" spans="1:22" ht="15" x14ac:dyDescent="0.25">
      <c r="A567" s="25"/>
      <c r="B567" s="25"/>
      <c r="C567" s="25"/>
      <c r="D567" s="25"/>
      <c r="E567" s="25"/>
      <c r="F567" s="25"/>
      <c r="G567" s="25"/>
      <c r="H567" s="25"/>
      <c r="I567" s="52">
        <f>J559+J560+J562+J563+J564+J565</f>
        <v>30740.05</v>
      </c>
      <c r="J567" s="52"/>
      <c r="K567" s="26">
        <f>IF(Source!I424&lt;&gt;0, ROUND(I567/Source!I424, 2), 0)</f>
        <v>29276.240000000002</v>
      </c>
      <c r="P567" s="24">
        <f>I567</f>
        <v>30740.05</v>
      </c>
    </row>
    <row r="568" spans="1:22" ht="71.25" x14ac:dyDescent="0.2">
      <c r="A568" s="19">
        <v>55</v>
      </c>
      <c r="B568" s="19" t="str">
        <f>Source!F426</f>
        <v>1.21-2303-37-1/1</v>
      </c>
      <c r="C568" s="19" t="str">
        <f>Source!G426</f>
        <v>Техническое обслуживание накладной штепсельной силовой розетки с винтовыми зажимами, заземляющим контактом, степень защиты IP20, IP21, IP22 - полугодовое</v>
      </c>
      <c r="D568" s="20" t="str">
        <f>Source!H426</f>
        <v>10 шт.</v>
      </c>
      <c r="E568" s="9">
        <f>Source!I426</f>
        <v>34.5</v>
      </c>
      <c r="F568" s="22"/>
      <c r="G568" s="21"/>
      <c r="H568" s="9"/>
      <c r="I568" s="9"/>
      <c r="J568" s="22"/>
      <c r="K568" s="22"/>
      <c r="Q568">
        <f>ROUND((Source!BZ426/100)*ROUND((Source!AF426*Source!AV426)*Source!I426, 2), 2)</f>
        <v>2684.28</v>
      </c>
      <c r="R568">
        <f>Source!X426</f>
        <v>2684.28</v>
      </c>
      <c r="S568">
        <f>ROUND((Source!CA426/100)*ROUND((Source!AF426*Source!AV426)*Source!I426, 2), 2)</f>
        <v>383.47</v>
      </c>
      <c r="T568">
        <f>Source!Y426</f>
        <v>383.47</v>
      </c>
      <c r="U568">
        <f>ROUND((175/100)*ROUND((Source!AE426*Source!AV426)*Source!I426, 2), 2)</f>
        <v>0</v>
      </c>
      <c r="V568">
        <f>ROUND((108/100)*ROUND(Source!CS426*Source!I426, 2), 2)</f>
        <v>0</v>
      </c>
    </row>
    <row r="569" spans="1:22" x14ac:dyDescent="0.2">
      <c r="C569" s="23" t="str">
        <f>"Объем: "&amp;Source!I426&amp;"=(6+"&amp;"17)*"&amp;"15/"&amp;"10"</f>
        <v>Объем: 34,5=(6+17)*15/10</v>
      </c>
    </row>
    <row r="570" spans="1:22" ht="14.25" x14ac:dyDescent="0.2">
      <c r="A570" s="19"/>
      <c r="B570" s="19"/>
      <c r="C570" s="19" t="s">
        <v>500</v>
      </c>
      <c r="D570" s="20"/>
      <c r="E570" s="9"/>
      <c r="F570" s="22">
        <f>Source!AO426</f>
        <v>111.15</v>
      </c>
      <c r="G570" s="21" t="str">
        <f>Source!DG426</f>
        <v/>
      </c>
      <c r="H570" s="9">
        <f>Source!AV426</f>
        <v>1</v>
      </c>
      <c r="I570" s="9">
        <f>IF(Source!BA426&lt;&gt; 0, Source!BA426, 1)</f>
        <v>1</v>
      </c>
      <c r="J570" s="22">
        <f>Source!S426</f>
        <v>3834.68</v>
      </c>
      <c r="K570" s="22"/>
    </row>
    <row r="571" spans="1:22" ht="14.25" x14ac:dyDescent="0.2">
      <c r="A571" s="19"/>
      <c r="B571" s="19"/>
      <c r="C571" s="19" t="s">
        <v>508</v>
      </c>
      <c r="D571" s="20"/>
      <c r="E571" s="9"/>
      <c r="F571" s="22">
        <f>Source!AL426</f>
        <v>6.3</v>
      </c>
      <c r="G571" s="21" t="str">
        <f>Source!DD426</f>
        <v/>
      </c>
      <c r="H571" s="9">
        <f>Source!AW426</f>
        <v>1</v>
      </c>
      <c r="I571" s="9">
        <f>IF(Source!BC426&lt;&gt; 0, Source!BC426, 1)</f>
        <v>1</v>
      </c>
      <c r="J571" s="22">
        <f>Source!P426</f>
        <v>217.35</v>
      </c>
      <c r="K571" s="22"/>
    </row>
    <row r="572" spans="1:22" ht="14.25" x14ac:dyDescent="0.2">
      <c r="A572" s="19"/>
      <c r="B572" s="19"/>
      <c r="C572" s="19" t="s">
        <v>501</v>
      </c>
      <c r="D572" s="20" t="s">
        <v>502</v>
      </c>
      <c r="E572" s="9">
        <f>Source!AT426</f>
        <v>70</v>
      </c>
      <c r="F572" s="22"/>
      <c r="G572" s="21"/>
      <c r="H572" s="9"/>
      <c r="I572" s="9"/>
      <c r="J572" s="22">
        <f>SUM(R568:R571)</f>
        <v>2684.28</v>
      </c>
      <c r="K572" s="22"/>
    </row>
    <row r="573" spans="1:22" ht="14.25" x14ac:dyDescent="0.2">
      <c r="A573" s="19"/>
      <c r="B573" s="19"/>
      <c r="C573" s="19" t="s">
        <v>503</v>
      </c>
      <c r="D573" s="20" t="s">
        <v>502</v>
      </c>
      <c r="E573" s="9">
        <f>Source!AU426</f>
        <v>10</v>
      </c>
      <c r="F573" s="22"/>
      <c r="G573" s="21"/>
      <c r="H573" s="9"/>
      <c r="I573" s="9"/>
      <c r="J573" s="22">
        <f>SUM(T568:T572)</f>
        <v>383.47</v>
      </c>
      <c r="K573" s="22"/>
    </row>
    <row r="574" spans="1:22" ht="14.25" x14ac:dyDescent="0.2">
      <c r="A574" s="19"/>
      <c r="B574" s="19"/>
      <c r="C574" s="19" t="s">
        <v>504</v>
      </c>
      <c r="D574" s="20" t="s">
        <v>505</v>
      </c>
      <c r="E574" s="9">
        <f>Source!AQ426</f>
        <v>0.18</v>
      </c>
      <c r="F574" s="22"/>
      <c r="G574" s="21" t="str">
        <f>Source!DI426</f>
        <v/>
      </c>
      <c r="H574" s="9">
        <f>Source!AV426</f>
        <v>1</v>
      </c>
      <c r="I574" s="9"/>
      <c r="J574" s="22"/>
      <c r="K574" s="22">
        <f>Source!U426</f>
        <v>6.21</v>
      </c>
    </row>
    <row r="575" spans="1:22" ht="15" x14ac:dyDescent="0.25">
      <c r="A575" s="25"/>
      <c r="B575" s="25"/>
      <c r="C575" s="25"/>
      <c r="D575" s="25"/>
      <c r="E575" s="25"/>
      <c r="F575" s="25"/>
      <c r="G575" s="25"/>
      <c r="H575" s="25"/>
      <c r="I575" s="52">
        <f>J570+J571+J572+J573</f>
        <v>7119.78</v>
      </c>
      <c r="J575" s="52"/>
      <c r="K575" s="26">
        <f>IF(Source!I426&lt;&gt;0, ROUND(I575/Source!I426, 2), 0)</f>
        <v>206.37</v>
      </c>
      <c r="P575" s="24">
        <f>I575</f>
        <v>7119.78</v>
      </c>
    </row>
    <row r="576" spans="1:22" ht="71.25" x14ac:dyDescent="0.2">
      <c r="A576" s="19">
        <v>56</v>
      </c>
      <c r="B576" s="19" t="str">
        <f>Source!F428</f>
        <v>1.20-2103-20-1/1</v>
      </c>
      <c r="C576" s="19" t="str">
        <f>Source!G428</f>
        <v>Техническое обслуживание датчика движения инфракрасного, встраиваемого в подвесной потолок, для управления освещением - ежемесячное</v>
      </c>
      <c r="D576" s="20" t="str">
        <f>Source!H428</f>
        <v>шт.</v>
      </c>
      <c r="E576" s="9">
        <f>Source!I428</f>
        <v>15</v>
      </c>
      <c r="F576" s="22"/>
      <c r="G576" s="21"/>
      <c r="H576" s="9"/>
      <c r="I576" s="9"/>
      <c r="J576" s="22"/>
      <c r="K576" s="22"/>
      <c r="Q576">
        <f>ROUND((Source!BZ428/100)*ROUND((Source!AF428*Source!AV428)*Source!I428, 2), 2)</f>
        <v>6138.72</v>
      </c>
      <c r="R576">
        <f>Source!X428</f>
        <v>6138.72</v>
      </c>
      <c r="S576">
        <f>ROUND((Source!CA428/100)*ROUND((Source!AF428*Source!AV428)*Source!I428, 2), 2)</f>
        <v>876.96</v>
      </c>
      <c r="T576">
        <f>Source!Y428</f>
        <v>876.96</v>
      </c>
      <c r="U576">
        <f>ROUND((175/100)*ROUND((Source!AE428*Source!AV428)*Source!I428, 2), 2)</f>
        <v>0</v>
      </c>
      <c r="V576">
        <f>ROUND((108/100)*ROUND(Source!CS428*Source!I428, 2), 2)</f>
        <v>0</v>
      </c>
    </row>
    <row r="577" spans="1:22" ht="14.25" x14ac:dyDescent="0.2">
      <c r="A577" s="19"/>
      <c r="B577" s="19"/>
      <c r="C577" s="19" t="s">
        <v>500</v>
      </c>
      <c r="D577" s="20"/>
      <c r="E577" s="9"/>
      <c r="F577" s="22">
        <f>Source!AO428</f>
        <v>146.16</v>
      </c>
      <c r="G577" s="21" t="str">
        <f>Source!DG428</f>
        <v>)*4</v>
      </c>
      <c r="H577" s="9">
        <f>Source!AV428</f>
        <v>1</v>
      </c>
      <c r="I577" s="9">
        <f>IF(Source!BA428&lt;&gt; 0, Source!BA428, 1)</f>
        <v>1</v>
      </c>
      <c r="J577" s="22">
        <f>Source!S428</f>
        <v>8769.6</v>
      </c>
      <c r="K577" s="22"/>
    </row>
    <row r="578" spans="1:22" ht="14.25" x14ac:dyDescent="0.2">
      <c r="A578" s="19"/>
      <c r="B578" s="19"/>
      <c r="C578" s="19" t="s">
        <v>508</v>
      </c>
      <c r="D578" s="20"/>
      <c r="E578" s="9"/>
      <c r="F578" s="22">
        <f>Source!AL428</f>
        <v>1.26</v>
      </c>
      <c r="G578" s="21" t="str">
        <f>Source!DD428</f>
        <v>)*4</v>
      </c>
      <c r="H578" s="9">
        <f>Source!AW428</f>
        <v>1</v>
      </c>
      <c r="I578" s="9">
        <f>IF(Source!BC428&lt;&gt; 0, Source!BC428, 1)</f>
        <v>1</v>
      </c>
      <c r="J578" s="22">
        <f>Source!P428</f>
        <v>75.599999999999994</v>
      </c>
      <c r="K578" s="22"/>
    </row>
    <row r="579" spans="1:22" ht="14.25" x14ac:dyDescent="0.2">
      <c r="A579" s="19"/>
      <c r="B579" s="19"/>
      <c r="C579" s="19" t="s">
        <v>501</v>
      </c>
      <c r="D579" s="20" t="s">
        <v>502</v>
      </c>
      <c r="E579" s="9">
        <f>Source!AT428</f>
        <v>70</v>
      </c>
      <c r="F579" s="22"/>
      <c r="G579" s="21"/>
      <c r="H579" s="9"/>
      <c r="I579" s="9"/>
      <c r="J579" s="22">
        <f>SUM(R576:R578)</f>
        <v>6138.72</v>
      </c>
      <c r="K579" s="22"/>
    </row>
    <row r="580" spans="1:22" ht="14.25" x14ac:dyDescent="0.2">
      <c r="A580" s="19"/>
      <c r="B580" s="19"/>
      <c r="C580" s="19" t="s">
        <v>503</v>
      </c>
      <c r="D580" s="20" t="s">
        <v>502</v>
      </c>
      <c r="E580" s="9">
        <f>Source!AU428</f>
        <v>10</v>
      </c>
      <c r="F580" s="22"/>
      <c r="G580" s="21"/>
      <c r="H580" s="9"/>
      <c r="I580" s="9"/>
      <c r="J580" s="22">
        <f>SUM(T576:T579)</f>
        <v>876.96</v>
      </c>
      <c r="K580" s="22"/>
    </row>
    <row r="581" spans="1:22" ht="14.25" x14ac:dyDescent="0.2">
      <c r="A581" s="19"/>
      <c r="B581" s="19"/>
      <c r="C581" s="19" t="s">
        <v>504</v>
      </c>
      <c r="D581" s="20" t="s">
        <v>505</v>
      </c>
      <c r="E581" s="9">
        <f>Source!AQ428</f>
        <v>0.26</v>
      </c>
      <c r="F581" s="22"/>
      <c r="G581" s="21" t="str">
        <f>Source!DI428</f>
        <v>)*4</v>
      </c>
      <c r="H581" s="9">
        <f>Source!AV428</f>
        <v>1</v>
      </c>
      <c r="I581" s="9"/>
      <c r="J581" s="22"/>
      <c r="K581" s="22">
        <f>Source!U428</f>
        <v>15.600000000000001</v>
      </c>
    </row>
    <row r="582" spans="1:22" ht="15" x14ac:dyDescent="0.25">
      <c r="A582" s="25"/>
      <c r="B582" s="25"/>
      <c r="C582" s="25"/>
      <c r="D582" s="25"/>
      <c r="E582" s="25"/>
      <c r="F582" s="25"/>
      <c r="G582" s="25"/>
      <c r="H582" s="25"/>
      <c r="I582" s="52">
        <f>J577+J578+J579+J580</f>
        <v>15860.880000000001</v>
      </c>
      <c r="J582" s="52"/>
      <c r="K582" s="26">
        <f>IF(Source!I428&lt;&gt;0, ROUND(I582/Source!I428, 2), 0)</f>
        <v>1057.3900000000001</v>
      </c>
      <c r="P582" s="24">
        <f>I582</f>
        <v>15860.880000000001</v>
      </c>
    </row>
    <row r="584" spans="1:22" ht="15" customHeight="1" x14ac:dyDescent="0.25">
      <c r="B584" s="55" t="str">
        <f>Source!G432</f>
        <v>Кабели и провода</v>
      </c>
      <c r="C584" s="55"/>
      <c r="D584" s="55"/>
      <c r="E584" s="55"/>
      <c r="F584" s="55"/>
      <c r="G584" s="55"/>
      <c r="H584" s="55"/>
      <c r="I584" s="55"/>
      <c r="J584" s="55"/>
    </row>
    <row r="585" spans="1:22" ht="57" x14ac:dyDescent="0.2">
      <c r="A585" s="19">
        <v>57</v>
      </c>
      <c r="B585" s="19" t="str">
        <f>Source!F433</f>
        <v>1.21-2103-9-2/1</v>
      </c>
      <c r="C585" s="19" t="str">
        <f>Source!G433</f>
        <v>Техническое обслуживание силовых сетей, проложенных по кирпичным и бетонным основаниям, провод сечением 3х1,5-6 мм2 / прим. 3х2,5</v>
      </c>
      <c r="D585" s="20" t="str">
        <f>Source!H433</f>
        <v>100 м</v>
      </c>
      <c r="E585" s="9">
        <f>Source!I433</f>
        <v>0.48299999999999998</v>
      </c>
      <c r="F585" s="22"/>
      <c r="G585" s="21"/>
      <c r="H585" s="9"/>
      <c r="I585" s="9"/>
      <c r="J585" s="22"/>
      <c r="K585" s="22"/>
      <c r="Q585">
        <f>ROUND((Source!BZ433/100)*ROUND((Source!AF433*Source!AV433)*Source!I433, 2), 2)</f>
        <v>1809.9</v>
      </c>
      <c r="R585">
        <f>Source!X433</f>
        <v>1809.9</v>
      </c>
      <c r="S585">
        <f>ROUND((Source!CA433/100)*ROUND((Source!AF433*Source!AV433)*Source!I433, 2), 2)</f>
        <v>258.56</v>
      </c>
      <c r="T585">
        <f>Source!Y433</f>
        <v>258.56</v>
      </c>
      <c r="U585">
        <f>ROUND((175/100)*ROUND((Source!AE433*Source!AV433)*Source!I433, 2), 2)</f>
        <v>0</v>
      </c>
      <c r="V585">
        <f>ROUND((108/100)*ROUND(Source!CS433*Source!I433, 2), 2)</f>
        <v>0</v>
      </c>
    </row>
    <row r="586" spans="1:22" x14ac:dyDescent="0.2">
      <c r="C586" s="23" t="str">
        <f>"Объем: "&amp;Source!I433&amp;"=(161*"&amp;"15)*"&amp;"0,2*"&amp;"0,1/"&amp;"100"</f>
        <v>Объем: 0,483=(161*15)*0,2*0,1/100</v>
      </c>
    </row>
    <row r="587" spans="1:22" ht="14.25" x14ac:dyDescent="0.2">
      <c r="A587" s="19"/>
      <c r="B587" s="19"/>
      <c r="C587" s="19" t="s">
        <v>500</v>
      </c>
      <c r="D587" s="20"/>
      <c r="E587" s="9"/>
      <c r="F587" s="22">
        <f>Source!AO433</f>
        <v>5353.15</v>
      </c>
      <c r="G587" s="21" t="str">
        <f>Source!DG433</f>
        <v/>
      </c>
      <c r="H587" s="9">
        <f>Source!AV433</f>
        <v>1</v>
      </c>
      <c r="I587" s="9">
        <f>IF(Source!BA433&lt;&gt; 0, Source!BA433, 1)</f>
        <v>1</v>
      </c>
      <c r="J587" s="22">
        <f>Source!S433</f>
        <v>2585.5700000000002</v>
      </c>
      <c r="K587" s="22"/>
    </row>
    <row r="588" spans="1:22" ht="14.25" x14ac:dyDescent="0.2">
      <c r="A588" s="19"/>
      <c r="B588" s="19"/>
      <c r="C588" s="19" t="s">
        <v>508</v>
      </c>
      <c r="D588" s="20"/>
      <c r="E588" s="9"/>
      <c r="F588" s="22">
        <f>Source!AL433</f>
        <v>22.51</v>
      </c>
      <c r="G588" s="21" t="str">
        <f>Source!DD433</f>
        <v/>
      </c>
      <c r="H588" s="9">
        <f>Source!AW433</f>
        <v>1</v>
      </c>
      <c r="I588" s="9">
        <f>IF(Source!BC433&lt;&gt; 0, Source!BC433, 1)</f>
        <v>1</v>
      </c>
      <c r="J588" s="22">
        <f>Source!P433</f>
        <v>10.87</v>
      </c>
      <c r="K588" s="22"/>
    </row>
    <row r="589" spans="1:22" ht="14.25" x14ac:dyDescent="0.2">
      <c r="A589" s="19"/>
      <c r="B589" s="19"/>
      <c r="C589" s="19" t="s">
        <v>501</v>
      </c>
      <c r="D589" s="20" t="s">
        <v>502</v>
      </c>
      <c r="E589" s="9">
        <f>Source!AT433</f>
        <v>70</v>
      </c>
      <c r="F589" s="22"/>
      <c r="G589" s="21"/>
      <c r="H589" s="9"/>
      <c r="I589" s="9"/>
      <c r="J589" s="22">
        <f>SUM(R585:R588)</f>
        <v>1809.9</v>
      </c>
      <c r="K589" s="22"/>
    </row>
    <row r="590" spans="1:22" ht="14.25" x14ac:dyDescent="0.2">
      <c r="A590" s="19"/>
      <c r="B590" s="19"/>
      <c r="C590" s="19" t="s">
        <v>503</v>
      </c>
      <c r="D590" s="20" t="s">
        <v>502</v>
      </c>
      <c r="E590" s="9">
        <f>Source!AU433</f>
        <v>10</v>
      </c>
      <c r="F590" s="22"/>
      <c r="G590" s="21"/>
      <c r="H590" s="9"/>
      <c r="I590" s="9"/>
      <c r="J590" s="22">
        <f>SUM(T585:T589)</f>
        <v>258.56</v>
      </c>
      <c r="K590" s="22"/>
    </row>
    <row r="591" spans="1:22" ht="14.25" x14ac:dyDescent="0.2">
      <c r="A591" s="19"/>
      <c r="B591" s="19"/>
      <c r="C591" s="19" t="s">
        <v>504</v>
      </c>
      <c r="D591" s="20" t="s">
        <v>505</v>
      </c>
      <c r="E591" s="9">
        <f>Source!AQ433</f>
        <v>10</v>
      </c>
      <c r="F591" s="22"/>
      <c r="G591" s="21" t="str">
        <f>Source!DI433</f>
        <v/>
      </c>
      <c r="H591" s="9">
        <f>Source!AV433</f>
        <v>1</v>
      </c>
      <c r="I591" s="9"/>
      <c r="J591" s="22"/>
      <c r="K591" s="22">
        <f>Source!U433</f>
        <v>4.83</v>
      </c>
    </row>
    <row r="592" spans="1:22" ht="15" x14ac:dyDescent="0.25">
      <c r="A592" s="25"/>
      <c r="B592" s="25"/>
      <c r="C592" s="25"/>
      <c r="D592" s="25"/>
      <c r="E592" s="25"/>
      <c r="F592" s="25"/>
      <c r="G592" s="25"/>
      <c r="H592" s="25"/>
      <c r="I592" s="52">
        <f>J587+J588+J589+J590</f>
        <v>4664.9000000000005</v>
      </c>
      <c r="J592" s="52"/>
      <c r="K592" s="26">
        <f>IF(Source!I433&lt;&gt;0, ROUND(I592/Source!I433, 2), 0)</f>
        <v>9658.18</v>
      </c>
      <c r="P592" s="24">
        <f>I592</f>
        <v>4664.9000000000005</v>
      </c>
    </row>
    <row r="593" spans="1:22" ht="57" x14ac:dyDescent="0.2">
      <c r="A593" s="19">
        <v>58</v>
      </c>
      <c r="B593" s="19" t="str">
        <f>Source!F435</f>
        <v>1.21-2103-9-2/1</v>
      </c>
      <c r="C593" s="19" t="str">
        <f>Source!G435</f>
        <v>Техническое обслуживание силовых сетей, проложенных по кирпичным и бетонным основаниям, провод сечением 3х1,5-6 мм2</v>
      </c>
      <c r="D593" s="20" t="str">
        <f>Source!H435</f>
        <v>100 м</v>
      </c>
      <c r="E593" s="9">
        <f>Source!I435</f>
        <v>0.36899999999999999</v>
      </c>
      <c r="F593" s="22"/>
      <c r="G593" s="21"/>
      <c r="H593" s="9"/>
      <c r="I593" s="9"/>
      <c r="J593" s="22"/>
      <c r="K593" s="22"/>
      <c r="Q593">
        <f>ROUND((Source!BZ435/100)*ROUND((Source!AF435*Source!AV435)*Source!I435, 2), 2)</f>
        <v>1382.72</v>
      </c>
      <c r="R593">
        <f>Source!X435</f>
        <v>1382.72</v>
      </c>
      <c r="S593">
        <f>ROUND((Source!CA435/100)*ROUND((Source!AF435*Source!AV435)*Source!I435, 2), 2)</f>
        <v>197.53</v>
      </c>
      <c r="T593">
        <f>Source!Y435</f>
        <v>197.53</v>
      </c>
      <c r="U593">
        <f>ROUND((175/100)*ROUND((Source!AE435*Source!AV435)*Source!I435, 2), 2)</f>
        <v>0</v>
      </c>
      <c r="V593">
        <f>ROUND((108/100)*ROUND(Source!CS435*Source!I435, 2), 2)</f>
        <v>0</v>
      </c>
    </row>
    <row r="594" spans="1:22" x14ac:dyDescent="0.2">
      <c r="C594" s="23" t="str">
        <f>"Объем: "&amp;Source!I435&amp;"=(123*"&amp;"15)*"&amp;"0,2*"&amp;"0,1/"&amp;"100"</f>
        <v>Объем: 0,369=(123*15)*0,2*0,1/100</v>
      </c>
    </row>
    <row r="595" spans="1:22" ht="14.25" x14ac:dyDescent="0.2">
      <c r="A595" s="19"/>
      <c r="B595" s="19"/>
      <c r="C595" s="19" t="s">
        <v>500</v>
      </c>
      <c r="D595" s="20"/>
      <c r="E595" s="9"/>
      <c r="F595" s="22">
        <f>Source!AO435</f>
        <v>5353.15</v>
      </c>
      <c r="G595" s="21" t="str">
        <f>Source!DG435</f>
        <v/>
      </c>
      <c r="H595" s="9">
        <f>Source!AV435</f>
        <v>1</v>
      </c>
      <c r="I595" s="9">
        <f>IF(Source!BA435&lt;&gt; 0, Source!BA435, 1)</f>
        <v>1</v>
      </c>
      <c r="J595" s="22">
        <f>Source!S435</f>
        <v>1975.31</v>
      </c>
      <c r="K595" s="22"/>
    </row>
    <row r="596" spans="1:22" ht="14.25" x14ac:dyDescent="0.2">
      <c r="A596" s="19"/>
      <c r="B596" s="19"/>
      <c r="C596" s="19" t="s">
        <v>508</v>
      </c>
      <c r="D596" s="20"/>
      <c r="E596" s="9"/>
      <c r="F596" s="22">
        <f>Source!AL435</f>
        <v>22.51</v>
      </c>
      <c r="G596" s="21" t="str">
        <f>Source!DD435</f>
        <v/>
      </c>
      <c r="H596" s="9">
        <f>Source!AW435</f>
        <v>1</v>
      </c>
      <c r="I596" s="9">
        <f>IF(Source!BC435&lt;&gt; 0, Source!BC435, 1)</f>
        <v>1</v>
      </c>
      <c r="J596" s="22">
        <f>Source!P435</f>
        <v>8.31</v>
      </c>
      <c r="K596" s="22"/>
    </row>
    <row r="597" spans="1:22" ht="14.25" x14ac:dyDescent="0.2">
      <c r="A597" s="19"/>
      <c r="B597" s="19"/>
      <c r="C597" s="19" t="s">
        <v>501</v>
      </c>
      <c r="D597" s="20" t="s">
        <v>502</v>
      </c>
      <c r="E597" s="9">
        <f>Source!AT435</f>
        <v>70</v>
      </c>
      <c r="F597" s="22"/>
      <c r="G597" s="21"/>
      <c r="H597" s="9"/>
      <c r="I597" s="9"/>
      <c r="J597" s="22">
        <f>SUM(R593:R596)</f>
        <v>1382.72</v>
      </c>
      <c r="K597" s="22"/>
    </row>
    <row r="598" spans="1:22" ht="14.25" x14ac:dyDescent="0.2">
      <c r="A598" s="19"/>
      <c r="B598" s="19"/>
      <c r="C598" s="19" t="s">
        <v>503</v>
      </c>
      <c r="D598" s="20" t="s">
        <v>502</v>
      </c>
      <c r="E598" s="9">
        <f>Source!AU435</f>
        <v>10</v>
      </c>
      <c r="F598" s="22"/>
      <c r="G598" s="21"/>
      <c r="H598" s="9"/>
      <c r="I598" s="9"/>
      <c r="J598" s="22">
        <f>SUM(T593:T597)</f>
        <v>197.53</v>
      </c>
      <c r="K598" s="22"/>
    </row>
    <row r="599" spans="1:22" ht="14.25" x14ac:dyDescent="0.2">
      <c r="A599" s="19"/>
      <c r="B599" s="19"/>
      <c r="C599" s="19" t="s">
        <v>504</v>
      </c>
      <c r="D599" s="20" t="s">
        <v>505</v>
      </c>
      <c r="E599" s="9">
        <f>Source!AQ435</f>
        <v>10</v>
      </c>
      <c r="F599" s="22"/>
      <c r="G599" s="21" t="str">
        <f>Source!DI435</f>
        <v/>
      </c>
      <c r="H599" s="9">
        <f>Source!AV435</f>
        <v>1</v>
      </c>
      <c r="I599" s="9"/>
      <c r="J599" s="22"/>
      <c r="K599" s="22">
        <f>Source!U435</f>
        <v>3.69</v>
      </c>
    </row>
    <row r="600" spans="1:22" ht="15" x14ac:dyDescent="0.25">
      <c r="A600" s="25"/>
      <c r="B600" s="25"/>
      <c r="C600" s="25"/>
      <c r="D600" s="25"/>
      <c r="E600" s="25"/>
      <c r="F600" s="25"/>
      <c r="G600" s="25"/>
      <c r="H600" s="25"/>
      <c r="I600" s="52">
        <f>J595+J596+J597+J598</f>
        <v>3563.8700000000003</v>
      </c>
      <c r="J600" s="52"/>
      <c r="K600" s="26">
        <f>IF(Source!I435&lt;&gt;0, ROUND(I600/Source!I435, 2), 0)</f>
        <v>9658.18</v>
      </c>
      <c r="P600" s="24">
        <f>I600</f>
        <v>3563.8700000000003</v>
      </c>
    </row>
    <row r="602" spans="1:22" ht="15" customHeight="1" x14ac:dyDescent="0.25">
      <c r="B602" s="55" t="str">
        <f>Source!G439</f>
        <v>Прочее электрооборудование</v>
      </c>
      <c r="C602" s="55"/>
      <c r="D602" s="55"/>
      <c r="E602" s="55"/>
      <c r="F602" s="55"/>
      <c r="G602" s="55"/>
      <c r="H602" s="55"/>
      <c r="I602" s="55"/>
      <c r="J602" s="55"/>
    </row>
    <row r="603" spans="1:22" ht="57" x14ac:dyDescent="0.2">
      <c r="A603" s="19">
        <v>59</v>
      </c>
      <c r="B603" s="19" t="str">
        <f>Source!F440</f>
        <v>1.21-2103-9-2/1</v>
      </c>
      <c r="C603" s="19" t="str">
        <f>Source!G440</f>
        <v>Техническое обслуживание силовых сетей, проложенных по кирпичным и бетонным основаниям, провод сечением 3х1,5-6 мм2/ кабель греющий</v>
      </c>
      <c r="D603" s="20" t="str">
        <f>Source!H440</f>
        <v>100 м</v>
      </c>
      <c r="E603" s="9">
        <f>Source!I440</f>
        <v>1.4999999999999999E-2</v>
      </c>
      <c r="F603" s="22"/>
      <c r="G603" s="21"/>
      <c r="H603" s="9"/>
      <c r="I603" s="9"/>
      <c r="J603" s="22"/>
      <c r="K603" s="22"/>
      <c r="Q603">
        <f>ROUND((Source!BZ440/100)*ROUND((Source!AF440*Source!AV440)*Source!I440, 2), 2)</f>
        <v>56.21</v>
      </c>
      <c r="R603">
        <f>Source!X440</f>
        <v>56.21</v>
      </c>
      <c r="S603">
        <f>ROUND((Source!CA440/100)*ROUND((Source!AF440*Source!AV440)*Source!I440, 2), 2)</f>
        <v>8.0299999999999994</v>
      </c>
      <c r="T603">
        <f>Source!Y440</f>
        <v>8.0299999999999994</v>
      </c>
      <c r="U603">
        <f>ROUND((175/100)*ROUND((Source!AE440*Source!AV440)*Source!I440, 2), 2)</f>
        <v>0</v>
      </c>
      <c r="V603">
        <f>ROUND((108/100)*ROUND(Source!CS440*Source!I440, 2), 2)</f>
        <v>0</v>
      </c>
    </row>
    <row r="604" spans="1:22" x14ac:dyDescent="0.2">
      <c r="C604" s="23" t="str">
        <f>"Объем: "&amp;Source!I440&amp;"=(5*"&amp;"15)*"&amp;"0,2*"&amp;"0,1/"&amp;"100"</f>
        <v>Объем: 0,015=(5*15)*0,2*0,1/100</v>
      </c>
    </row>
    <row r="605" spans="1:22" ht="14.25" x14ac:dyDescent="0.2">
      <c r="A605" s="19"/>
      <c r="B605" s="19"/>
      <c r="C605" s="19" t="s">
        <v>500</v>
      </c>
      <c r="D605" s="20"/>
      <c r="E605" s="9"/>
      <c r="F605" s="22">
        <f>Source!AO440</f>
        <v>5353.15</v>
      </c>
      <c r="G605" s="21" t="str">
        <f>Source!DG440</f>
        <v/>
      </c>
      <c r="H605" s="9">
        <f>Source!AV440</f>
        <v>1</v>
      </c>
      <c r="I605" s="9">
        <f>IF(Source!BA440&lt;&gt; 0, Source!BA440, 1)</f>
        <v>1</v>
      </c>
      <c r="J605" s="22">
        <f>Source!S440</f>
        <v>80.3</v>
      </c>
      <c r="K605" s="22"/>
    </row>
    <row r="606" spans="1:22" ht="14.25" x14ac:dyDescent="0.2">
      <c r="A606" s="19"/>
      <c r="B606" s="19"/>
      <c r="C606" s="19" t="s">
        <v>508</v>
      </c>
      <c r="D606" s="20"/>
      <c r="E606" s="9"/>
      <c r="F606" s="22">
        <f>Source!AL440</f>
        <v>22.51</v>
      </c>
      <c r="G606" s="21" t="str">
        <f>Source!DD440</f>
        <v/>
      </c>
      <c r="H606" s="9">
        <f>Source!AW440</f>
        <v>1</v>
      </c>
      <c r="I606" s="9">
        <f>IF(Source!BC440&lt;&gt; 0, Source!BC440, 1)</f>
        <v>1</v>
      </c>
      <c r="J606" s="22">
        <f>Source!P440</f>
        <v>0.34</v>
      </c>
      <c r="K606" s="22"/>
    </row>
    <row r="607" spans="1:22" ht="14.25" x14ac:dyDescent="0.2">
      <c r="A607" s="19"/>
      <c r="B607" s="19"/>
      <c r="C607" s="19" t="s">
        <v>501</v>
      </c>
      <c r="D607" s="20" t="s">
        <v>502</v>
      </c>
      <c r="E607" s="9">
        <f>Source!AT440</f>
        <v>70</v>
      </c>
      <c r="F607" s="22"/>
      <c r="G607" s="21"/>
      <c r="H607" s="9"/>
      <c r="I607" s="9"/>
      <c r="J607" s="22">
        <f>SUM(R603:R606)</f>
        <v>56.21</v>
      </c>
      <c r="K607" s="22"/>
    </row>
    <row r="608" spans="1:22" ht="14.25" x14ac:dyDescent="0.2">
      <c r="A608" s="19"/>
      <c r="B608" s="19"/>
      <c r="C608" s="19" t="s">
        <v>503</v>
      </c>
      <c r="D608" s="20" t="s">
        <v>502</v>
      </c>
      <c r="E608" s="9">
        <f>Source!AU440</f>
        <v>10</v>
      </c>
      <c r="F608" s="22"/>
      <c r="G608" s="21"/>
      <c r="H608" s="9"/>
      <c r="I608" s="9"/>
      <c r="J608" s="22">
        <f>SUM(T603:T607)</f>
        <v>8.0299999999999994</v>
      </c>
      <c r="K608" s="22"/>
    </row>
    <row r="609" spans="1:32" ht="14.25" x14ac:dyDescent="0.2">
      <c r="A609" s="19"/>
      <c r="B609" s="19"/>
      <c r="C609" s="19" t="s">
        <v>504</v>
      </c>
      <c r="D609" s="20" t="s">
        <v>505</v>
      </c>
      <c r="E609" s="9">
        <f>Source!AQ440</f>
        <v>10</v>
      </c>
      <c r="F609" s="22"/>
      <c r="G609" s="21" t="str">
        <f>Source!DI440</f>
        <v/>
      </c>
      <c r="H609" s="9">
        <f>Source!AV440</f>
        <v>1</v>
      </c>
      <c r="I609" s="9"/>
      <c r="J609" s="22"/>
      <c r="K609" s="22">
        <f>Source!U440</f>
        <v>0.15</v>
      </c>
    </row>
    <row r="610" spans="1:32" ht="15" x14ac:dyDescent="0.25">
      <c r="A610" s="25"/>
      <c r="B610" s="25"/>
      <c r="C610" s="25"/>
      <c r="D610" s="25"/>
      <c r="E610" s="25"/>
      <c r="F610" s="25"/>
      <c r="G610" s="25"/>
      <c r="H610" s="25"/>
      <c r="I610" s="52">
        <f>J605+J606+J607+J608</f>
        <v>144.88</v>
      </c>
      <c r="J610" s="52"/>
      <c r="K610" s="26">
        <f>IF(Source!I440&lt;&gt;0, ROUND(I610/Source!I440, 2), 0)</f>
        <v>9658.67</v>
      </c>
      <c r="P610" s="24">
        <f>I610</f>
        <v>144.88</v>
      </c>
    </row>
    <row r="612" spans="1:32" ht="15" customHeight="1" x14ac:dyDescent="0.25">
      <c r="A612" s="54" t="str">
        <f>CONCATENATE("Итого по подразделу: ",IF(Source!G443&lt;&gt;"Новый подраздел", Source!G443, ""))</f>
        <v>Итого по подразделу: Система электроснабжения</v>
      </c>
      <c r="B612" s="54"/>
      <c r="C612" s="54"/>
      <c r="D612" s="54"/>
      <c r="E612" s="54"/>
      <c r="F612" s="54"/>
      <c r="G612" s="54"/>
      <c r="H612" s="54"/>
      <c r="I612" s="53">
        <f>SUM(P479:P611)</f>
        <v>821610.15000000014</v>
      </c>
      <c r="J612" s="53"/>
      <c r="K612" s="28"/>
    </row>
    <row r="615" spans="1:32" ht="30" customHeight="1" x14ac:dyDescent="0.25">
      <c r="A615" s="54" t="str">
        <f>CONCATENATE("Итого по разделу: ",IF(Source!G473&lt;&gt;"Новый раздел", Source!G473, ""))</f>
        <v>Итого по разделу: Дом односекционный  (15 шт.) по адресу: г. Москва, городское поселение Краснопахорское, квартал 107</v>
      </c>
      <c r="B615" s="54"/>
      <c r="C615" s="54"/>
      <c r="D615" s="54"/>
      <c r="E615" s="54"/>
      <c r="F615" s="54"/>
      <c r="G615" s="54"/>
      <c r="H615" s="54"/>
      <c r="I615" s="53">
        <f>SUM(P314:P614)</f>
        <v>1144010.0399999998</v>
      </c>
      <c r="J615" s="53"/>
      <c r="K615" s="28"/>
      <c r="AF615" s="29" t="str">
        <f>CONCATENATE("Итого по разделу: ",IF(Source!G473&lt;&gt;"Новый раздел", Source!G473, ""))</f>
        <v>Итого по разделу: Дом односекционный  (15 шт.) по адресу: г. Москва, городское поселение Краснопахорское, квартал 107</v>
      </c>
    </row>
    <row r="618" spans="1:32" ht="16.5" customHeight="1" x14ac:dyDescent="0.25">
      <c r="A618" s="51" t="str">
        <f>CONCATENATE("Раздел: ",IF(Source!G503&lt;&gt;"Новый раздел", Source!G503, ""))</f>
        <v>Раздел: Дом двухсекционный  (10 шт.) по адресу: г. Москва, городское поселение Краснопахорское, квартал 107</v>
      </c>
      <c r="B618" s="51"/>
      <c r="C618" s="51"/>
      <c r="D618" s="51"/>
      <c r="E618" s="51"/>
      <c r="F618" s="51"/>
      <c r="G618" s="51"/>
      <c r="H618" s="51"/>
      <c r="I618" s="51"/>
      <c r="J618" s="51"/>
      <c r="K618" s="51"/>
      <c r="AE618" s="18" t="str">
        <f>CONCATENATE("Раздел: ",IF(Source!G503&lt;&gt;"Новый раздел", Source!G503, ""))</f>
        <v>Раздел: Дом двухсекционный  (10 шт.) по адресу: г. Москва, городское поселение Краснопахорское, квартал 107</v>
      </c>
    </row>
    <row r="620" spans="1:32" ht="16.5" customHeight="1" x14ac:dyDescent="0.25">
      <c r="A620" s="51" t="str">
        <f>CONCATENATE("Подраздел: ",IF(Source!G507&lt;&gt;"Новый подраздел", Source!G507, ""))</f>
        <v>Подраздел: Система внутреннего водоснабжения и водоотведения</v>
      </c>
      <c r="B620" s="51"/>
      <c r="C620" s="51"/>
      <c r="D620" s="51"/>
      <c r="E620" s="51"/>
      <c r="F620" s="51"/>
      <c r="G620" s="51"/>
      <c r="H620" s="51"/>
      <c r="I620" s="51"/>
      <c r="J620" s="51"/>
      <c r="K620" s="51"/>
    </row>
    <row r="621" spans="1:32" ht="28.5" x14ac:dyDescent="0.2">
      <c r="A621" s="19">
        <v>60</v>
      </c>
      <c r="B621" s="19" t="str">
        <f>Source!F513</f>
        <v>1.16-3201-2-1/1</v>
      </c>
      <c r="C621" s="19" t="str">
        <f>Source!G513</f>
        <v>Укрепление расшатавшихся санитарно-технических приборов - умывальники</v>
      </c>
      <c r="D621" s="20" t="str">
        <f>Source!H513</f>
        <v>100 шт.</v>
      </c>
      <c r="E621" s="9">
        <f>Source!I513</f>
        <v>0.1</v>
      </c>
      <c r="F621" s="22"/>
      <c r="G621" s="21"/>
      <c r="H621" s="9"/>
      <c r="I621" s="9"/>
      <c r="J621" s="22"/>
      <c r="K621" s="22"/>
      <c r="Q621">
        <f>ROUND((Source!BZ513/100)*ROUND((Source!AF513*Source!AV513)*Source!I513, 2), 2)</f>
        <v>3705.48</v>
      </c>
      <c r="R621">
        <f>Source!X513</f>
        <v>3705.48</v>
      </c>
      <c r="S621">
        <f>ROUND((Source!CA513/100)*ROUND((Source!AF513*Source!AV513)*Source!I513, 2), 2)</f>
        <v>529.35</v>
      </c>
      <c r="T621">
        <f>Source!Y513</f>
        <v>529.35</v>
      </c>
      <c r="U621">
        <f>ROUND((175/100)*ROUND((Source!AE513*Source!AV513)*Source!I513, 2), 2)</f>
        <v>0.12</v>
      </c>
      <c r="V621">
        <f>ROUND((108/100)*ROUND(Source!CS513*Source!I513, 2), 2)</f>
        <v>0.08</v>
      </c>
    </row>
    <row r="622" spans="1:32" x14ac:dyDescent="0.2">
      <c r="C622" s="23" t="str">
        <f>"Объем: "&amp;Source!I513&amp;"=(10)*"&amp;"1/"&amp;"100"</f>
        <v>Объем: 0,1=(10)*1/100</v>
      </c>
    </row>
    <row r="623" spans="1:32" ht="14.25" x14ac:dyDescent="0.2">
      <c r="A623" s="19"/>
      <c r="B623" s="19"/>
      <c r="C623" s="19" t="s">
        <v>500</v>
      </c>
      <c r="D623" s="20"/>
      <c r="E623" s="9"/>
      <c r="F623" s="22">
        <f>Source!AO513</f>
        <v>52935.41</v>
      </c>
      <c r="G623" s="21" t="str">
        <f>Source!DG513</f>
        <v/>
      </c>
      <c r="H623" s="9">
        <f>Source!AV513</f>
        <v>1</v>
      </c>
      <c r="I623" s="9">
        <f>IF(Source!BA513&lt;&gt; 0, Source!BA513, 1)</f>
        <v>1</v>
      </c>
      <c r="J623" s="22">
        <f>Source!S513</f>
        <v>5293.54</v>
      </c>
      <c r="K623" s="22"/>
    </row>
    <row r="624" spans="1:32" ht="14.25" x14ac:dyDescent="0.2">
      <c r="A624" s="19"/>
      <c r="B624" s="19"/>
      <c r="C624" s="19" t="s">
        <v>506</v>
      </c>
      <c r="D624" s="20"/>
      <c r="E624" s="9"/>
      <c r="F624" s="22">
        <f>Source!AM513</f>
        <v>61.83</v>
      </c>
      <c r="G624" s="21" t="str">
        <f>Source!DE513</f>
        <v/>
      </c>
      <c r="H624" s="9">
        <f>Source!AV513</f>
        <v>1</v>
      </c>
      <c r="I624" s="9">
        <f>IF(Source!BB513&lt;&gt; 0, Source!BB513, 1)</f>
        <v>1</v>
      </c>
      <c r="J624" s="22">
        <f>Source!Q513</f>
        <v>6.18</v>
      </c>
      <c r="K624" s="22"/>
    </row>
    <row r="625" spans="1:22" ht="14.25" x14ac:dyDescent="0.2">
      <c r="A625" s="19"/>
      <c r="B625" s="19"/>
      <c r="C625" s="19" t="s">
        <v>507</v>
      </c>
      <c r="D625" s="20"/>
      <c r="E625" s="9"/>
      <c r="F625" s="22">
        <f>Source!AN513</f>
        <v>0.7</v>
      </c>
      <c r="G625" s="21" t="str">
        <f>Source!DF513</f>
        <v/>
      </c>
      <c r="H625" s="9">
        <f>Source!AV513</f>
        <v>1</v>
      </c>
      <c r="I625" s="9">
        <f>IF(Source!BS513&lt;&gt; 0, Source!BS513, 1)</f>
        <v>1</v>
      </c>
      <c r="J625" s="27">
        <f>Source!R513</f>
        <v>7.0000000000000007E-2</v>
      </c>
      <c r="K625" s="22"/>
    </row>
    <row r="626" spans="1:22" ht="14.25" x14ac:dyDescent="0.2">
      <c r="A626" s="19"/>
      <c r="B626" s="19"/>
      <c r="C626" s="19" t="s">
        <v>508</v>
      </c>
      <c r="D626" s="20"/>
      <c r="E626" s="9"/>
      <c r="F626" s="22">
        <f>Source!AL513</f>
        <v>776.55</v>
      </c>
      <c r="G626" s="21" t="str">
        <f>Source!DD513</f>
        <v/>
      </c>
      <c r="H626" s="9">
        <f>Source!AW513</f>
        <v>1</v>
      </c>
      <c r="I626" s="9">
        <f>IF(Source!BC513&lt;&gt; 0, Source!BC513, 1)</f>
        <v>1</v>
      </c>
      <c r="J626" s="22">
        <f>Source!P513</f>
        <v>77.66</v>
      </c>
      <c r="K626" s="22"/>
    </row>
    <row r="627" spans="1:22" ht="14.25" x14ac:dyDescent="0.2">
      <c r="A627" s="19"/>
      <c r="B627" s="19"/>
      <c r="C627" s="19" t="s">
        <v>501</v>
      </c>
      <c r="D627" s="20" t="s">
        <v>502</v>
      </c>
      <c r="E627" s="9">
        <f>Source!AT513</f>
        <v>70</v>
      </c>
      <c r="F627" s="22"/>
      <c r="G627" s="21"/>
      <c r="H627" s="9"/>
      <c r="I627" s="9"/>
      <c r="J627" s="22">
        <f>SUM(R621:R626)</f>
        <v>3705.48</v>
      </c>
      <c r="K627" s="22"/>
    </row>
    <row r="628" spans="1:22" ht="14.25" x14ac:dyDescent="0.2">
      <c r="A628" s="19"/>
      <c r="B628" s="19"/>
      <c r="C628" s="19" t="s">
        <v>503</v>
      </c>
      <c r="D628" s="20" t="s">
        <v>502</v>
      </c>
      <c r="E628" s="9">
        <f>Source!AU513</f>
        <v>10</v>
      </c>
      <c r="F628" s="22"/>
      <c r="G628" s="21"/>
      <c r="H628" s="9"/>
      <c r="I628" s="9"/>
      <c r="J628" s="22">
        <f>SUM(T621:T627)</f>
        <v>529.35</v>
      </c>
      <c r="K628" s="22"/>
    </row>
    <row r="629" spans="1:22" ht="14.25" x14ac:dyDescent="0.2">
      <c r="A629" s="19"/>
      <c r="B629" s="19"/>
      <c r="C629" s="19" t="s">
        <v>509</v>
      </c>
      <c r="D629" s="20" t="s">
        <v>502</v>
      </c>
      <c r="E629" s="9">
        <f>108</f>
        <v>108</v>
      </c>
      <c r="F629" s="22"/>
      <c r="G629" s="21"/>
      <c r="H629" s="9"/>
      <c r="I629" s="9"/>
      <c r="J629" s="22">
        <f>SUM(V621:V628)</f>
        <v>0.08</v>
      </c>
      <c r="K629" s="22"/>
    </row>
    <row r="630" spans="1:22" ht="14.25" x14ac:dyDescent="0.2">
      <c r="A630" s="19"/>
      <c r="B630" s="19"/>
      <c r="C630" s="19" t="s">
        <v>504</v>
      </c>
      <c r="D630" s="20" t="s">
        <v>505</v>
      </c>
      <c r="E630" s="9">
        <f>Source!AQ513</f>
        <v>104.44</v>
      </c>
      <c r="F630" s="22"/>
      <c r="G630" s="21" t="str">
        <f>Source!DI513</f>
        <v/>
      </c>
      <c r="H630" s="9">
        <f>Source!AV513</f>
        <v>1</v>
      </c>
      <c r="I630" s="9"/>
      <c r="J630" s="22"/>
      <c r="K630" s="22">
        <f>Source!U513</f>
        <v>10.444000000000001</v>
      </c>
    </row>
    <row r="631" spans="1:22" ht="15" x14ac:dyDescent="0.25">
      <c r="A631" s="25"/>
      <c r="B631" s="25"/>
      <c r="C631" s="25"/>
      <c r="D631" s="25"/>
      <c r="E631" s="25"/>
      <c r="F631" s="25"/>
      <c r="G631" s="25"/>
      <c r="H631" s="25"/>
      <c r="I631" s="52">
        <f>J623+J624+J626+J627+J628+J629</f>
        <v>9612.2900000000009</v>
      </c>
      <c r="J631" s="52"/>
      <c r="K631" s="26">
        <f>IF(Source!I513&lt;&gt;0, ROUND(I631/Source!I513, 2), 0)</f>
        <v>96122.9</v>
      </c>
      <c r="P631" s="24">
        <f>I631</f>
        <v>9612.2900000000009</v>
      </c>
    </row>
    <row r="632" spans="1:22" ht="42.75" x14ac:dyDescent="0.2">
      <c r="A632" s="19">
        <v>61</v>
      </c>
      <c r="B632" s="19" t="str">
        <f>Source!F514</f>
        <v>1.16-3201-2-2/1</v>
      </c>
      <c r="C632" s="19" t="str">
        <f>Source!G514</f>
        <v>Укрепление расшатавшихся санитарно-технических приборов - унитазы и биде</v>
      </c>
      <c r="D632" s="20" t="str">
        <f>Source!H514</f>
        <v>100 шт.</v>
      </c>
      <c r="E632" s="9">
        <f>Source!I514</f>
        <v>0.1</v>
      </c>
      <c r="F632" s="22"/>
      <c r="G632" s="21"/>
      <c r="H632" s="9"/>
      <c r="I632" s="9"/>
      <c r="J632" s="22"/>
      <c r="K632" s="22"/>
      <c r="Q632">
        <f>ROUND((Source!BZ514/100)*ROUND((Source!AF514*Source!AV514)*Source!I514, 2), 2)</f>
        <v>5390.4</v>
      </c>
      <c r="R632">
        <f>Source!X514</f>
        <v>5390.4</v>
      </c>
      <c r="S632">
        <f>ROUND((Source!CA514/100)*ROUND((Source!AF514*Source!AV514)*Source!I514, 2), 2)</f>
        <v>770.06</v>
      </c>
      <c r="T632">
        <f>Source!Y514</f>
        <v>770.06</v>
      </c>
      <c r="U632">
        <f>ROUND((175/100)*ROUND((Source!AE514*Source!AV514)*Source!I514, 2), 2)</f>
        <v>0.12</v>
      </c>
      <c r="V632">
        <f>ROUND((108/100)*ROUND(Source!CS514*Source!I514, 2), 2)</f>
        <v>0.08</v>
      </c>
    </row>
    <row r="633" spans="1:22" x14ac:dyDescent="0.2">
      <c r="C633" s="23" t="str">
        <f>"Объем: "&amp;Source!I514&amp;"=(10)*"&amp;"1/"&amp;"100"</f>
        <v>Объем: 0,1=(10)*1/100</v>
      </c>
    </row>
    <row r="634" spans="1:22" ht="14.25" x14ac:dyDescent="0.2">
      <c r="A634" s="19"/>
      <c r="B634" s="19"/>
      <c r="C634" s="19" t="s">
        <v>500</v>
      </c>
      <c r="D634" s="20"/>
      <c r="E634" s="9"/>
      <c r="F634" s="22">
        <f>Source!AO514</f>
        <v>77005.72</v>
      </c>
      <c r="G634" s="21" t="str">
        <f>Source!DG514</f>
        <v/>
      </c>
      <c r="H634" s="9">
        <f>Source!AV514</f>
        <v>1</v>
      </c>
      <c r="I634" s="9">
        <f>IF(Source!BA514&lt;&gt; 0, Source!BA514, 1)</f>
        <v>1</v>
      </c>
      <c r="J634" s="22">
        <f>Source!S514</f>
        <v>7700.57</v>
      </c>
      <c r="K634" s="22"/>
    </row>
    <row r="635" spans="1:22" ht="14.25" x14ac:dyDescent="0.2">
      <c r="A635" s="19"/>
      <c r="B635" s="19"/>
      <c r="C635" s="19" t="s">
        <v>506</v>
      </c>
      <c r="D635" s="20"/>
      <c r="E635" s="9"/>
      <c r="F635" s="22">
        <f>Source!AM514</f>
        <v>61.83</v>
      </c>
      <c r="G635" s="21" t="str">
        <f>Source!DE514</f>
        <v/>
      </c>
      <c r="H635" s="9">
        <f>Source!AV514</f>
        <v>1</v>
      </c>
      <c r="I635" s="9">
        <f>IF(Source!BB514&lt;&gt; 0, Source!BB514, 1)</f>
        <v>1</v>
      </c>
      <c r="J635" s="22">
        <f>Source!Q514</f>
        <v>6.18</v>
      </c>
      <c r="K635" s="22"/>
    </row>
    <row r="636" spans="1:22" ht="14.25" x14ac:dyDescent="0.2">
      <c r="A636" s="19"/>
      <c r="B636" s="19"/>
      <c r="C636" s="19" t="s">
        <v>507</v>
      </c>
      <c r="D636" s="20"/>
      <c r="E636" s="9"/>
      <c r="F636" s="22">
        <f>Source!AN514</f>
        <v>0.7</v>
      </c>
      <c r="G636" s="21" t="str">
        <f>Source!DF514</f>
        <v/>
      </c>
      <c r="H636" s="9">
        <f>Source!AV514</f>
        <v>1</v>
      </c>
      <c r="I636" s="9">
        <f>IF(Source!BS514&lt;&gt; 0, Source!BS514, 1)</f>
        <v>1</v>
      </c>
      <c r="J636" s="27">
        <f>Source!R514</f>
        <v>7.0000000000000007E-2</v>
      </c>
      <c r="K636" s="22"/>
    </row>
    <row r="637" spans="1:22" ht="14.25" x14ac:dyDescent="0.2">
      <c r="A637" s="19"/>
      <c r="B637" s="19"/>
      <c r="C637" s="19" t="s">
        <v>508</v>
      </c>
      <c r="D637" s="20"/>
      <c r="E637" s="9"/>
      <c r="F637" s="22">
        <f>Source!AL514</f>
        <v>776.55</v>
      </c>
      <c r="G637" s="21" t="str">
        <f>Source!DD514</f>
        <v/>
      </c>
      <c r="H637" s="9">
        <f>Source!AW514</f>
        <v>1</v>
      </c>
      <c r="I637" s="9">
        <f>IF(Source!BC514&lt;&gt; 0, Source!BC514, 1)</f>
        <v>1</v>
      </c>
      <c r="J637" s="22">
        <f>Source!P514</f>
        <v>77.66</v>
      </c>
      <c r="K637" s="22"/>
    </row>
    <row r="638" spans="1:22" ht="14.25" x14ac:dyDescent="0.2">
      <c r="A638" s="19"/>
      <c r="B638" s="19"/>
      <c r="C638" s="19" t="s">
        <v>501</v>
      </c>
      <c r="D638" s="20" t="s">
        <v>502</v>
      </c>
      <c r="E638" s="9">
        <f>Source!AT514</f>
        <v>70</v>
      </c>
      <c r="F638" s="22"/>
      <c r="G638" s="21"/>
      <c r="H638" s="9"/>
      <c r="I638" s="9"/>
      <c r="J638" s="22">
        <f>SUM(R632:R637)</f>
        <v>5390.4</v>
      </c>
      <c r="K638" s="22"/>
    </row>
    <row r="639" spans="1:22" ht="14.25" x14ac:dyDescent="0.2">
      <c r="A639" s="19"/>
      <c r="B639" s="19"/>
      <c r="C639" s="19" t="s">
        <v>503</v>
      </c>
      <c r="D639" s="20" t="s">
        <v>502</v>
      </c>
      <c r="E639" s="9">
        <f>Source!AU514</f>
        <v>10</v>
      </c>
      <c r="F639" s="22"/>
      <c r="G639" s="21"/>
      <c r="H639" s="9"/>
      <c r="I639" s="9"/>
      <c r="J639" s="22">
        <f>SUM(T632:T638)</f>
        <v>770.06</v>
      </c>
      <c r="K639" s="22"/>
    </row>
    <row r="640" spans="1:22" ht="14.25" x14ac:dyDescent="0.2">
      <c r="A640" s="19"/>
      <c r="B640" s="19"/>
      <c r="C640" s="19" t="s">
        <v>509</v>
      </c>
      <c r="D640" s="20" t="s">
        <v>502</v>
      </c>
      <c r="E640" s="9">
        <f>108</f>
        <v>108</v>
      </c>
      <c r="F640" s="22"/>
      <c r="G640" s="21"/>
      <c r="H640" s="9"/>
      <c r="I640" s="9"/>
      <c r="J640" s="22">
        <f>SUM(V632:V639)</f>
        <v>0.08</v>
      </c>
      <c r="K640" s="22"/>
    </row>
    <row r="641" spans="1:22" ht="14.25" x14ac:dyDescent="0.2">
      <c r="A641" s="19"/>
      <c r="B641" s="19"/>
      <c r="C641" s="19" t="s">
        <v>504</v>
      </c>
      <c r="D641" s="20" t="s">
        <v>505</v>
      </c>
      <c r="E641" s="9">
        <f>Source!AQ514</f>
        <v>151.93</v>
      </c>
      <c r="F641" s="22"/>
      <c r="G641" s="21" t="str">
        <f>Source!DI514</f>
        <v/>
      </c>
      <c r="H641" s="9">
        <f>Source!AV514</f>
        <v>1</v>
      </c>
      <c r="I641" s="9"/>
      <c r="J641" s="22"/>
      <c r="K641" s="22">
        <f>Source!U514</f>
        <v>15.193000000000001</v>
      </c>
    </row>
    <row r="642" spans="1:22" ht="15" x14ac:dyDescent="0.25">
      <c r="A642" s="25"/>
      <c r="B642" s="25"/>
      <c r="C642" s="25"/>
      <c r="D642" s="25"/>
      <c r="E642" s="25"/>
      <c r="F642" s="25"/>
      <c r="G642" s="25"/>
      <c r="H642" s="25"/>
      <c r="I642" s="52">
        <f>J634+J635+J637+J638+J639+J640</f>
        <v>13944.949999999999</v>
      </c>
      <c r="J642" s="52"/>
      <c r="K642" s="26">
        <f>IF(Source!I514&lt;&gt;0, ROUND(I642/Source!I514, 2), 0)</f>
        <v>139449.5</v>
      </c>
      <c r="P642" s="24">
        <f>I642</f>
        <v>13944.949999999999</v>
      </c>
    </row>
    <row r="643" spans="1:22" ht="28.5" x14ac:dyDescent="0.2">
      <c r="A643" s="19">
        <v>62</v>
      </c>
      <c r="B643" s="19" t="str">
        <f>Source!F515</f>
        <v>1.16-3201-1-1/1</v>
      </c>
      <c r="C643" s="19" t="str">
        <f>Source!G515</f>
        <v>Регулировка смывного бачка</v>
      </c>
      <c r="D643" s="20" t="str">
        <f>Source!H515</f>
        <v>100 приборов</v>
      </c>
      <c r="E643" s="9">
        <f>Source!I515</f>
        <v>0.1</v>
      </c>
      <c r="F643" s="22"/>
      <c r="G643" s="21"/>
      <c r="H643" s="9"/>
      <c r="I643" s="9"/>
      <c r="J643" s="22"/>
      <c r="K643" s="22"/>
      <c r="Q643">
        <f>ROUND((Source!BZ515/100)*ROUND((Source!AF515*Source!AV515)*Source!I515, 2), 2)</f>
        <v>1112.73</v>
      </c>
      <c r="R643">
        <f>Source!X515</f>
        <v>1112.73</v>
      </c>
      <c r="S643">
        <f>ROUND((Source!CA515/100)*ROUND((Source!AF515*Source!AV515)*Source!I515, 2), 2)</f>
        <v>158.96</v>
      </c>
      <c r="T643">
        <f>Source!Y515</f>
        <v>158.96</v>
      </c>
      <c r="U643">
        <f>ROUND((175/100)*ROUND((Source!AE515*Source!AV515)*Source!I515, 2), 2)</f>
        <v>0</v>
      </c>
      <c r="V643">
        <f>ROUND((108/100)*ROUND(Source!CS515*Source!I515, 2), 2)</f>
        <v>0</v>
      </c>
    </row>
    <row r="644" spans="1:22" x14ac:dyDescent="0.2">
      <c r="C644" s="23" t="str">
        <f>"Объем: "&amp;Source!I515&amp;"=10*"&amp;"1/"&amp;"100"</f>
        <v>Объем: 0,1=10*1/100</v>
      </c>
    </row>
    <row r="645" spans="1:22" ht="14.25" x14ac:dyDescent="0.2">
      <c r="A645" s="19"/>
      <c r="B645" s="19"/>
      <c r="C645" s="19" t="s">
        <v>500</v>
      </c>
      <c r="D645" s="20"/>
      <c r="E645" s="9"/>
      <c r="F645" s="22">
        <f>Source!AO515</f>
        <v>15896.11</v>
      </c>
      <c r="G645" s="21" t="str">
        <f>Source!DG515</f>
        <v/>
      </c>
      <c r="H645" s="9">
        <f>Source!AV515</f>
        <v>1</v>
      </c>
      <c r="I645" s="9">
        <f>IF(Source!BA515&lt;&gt; 0, Source!BA515, 1)</f>
        <v>1</v>
      </c>
      <c r="J645" s="22">
        <f>Source!S515</f>
        <v>1589.61</v>
      </c>
      <c r="K645" s="22"/>
    </row>
    <row r="646" spans="1:22" ht="14.25" x14ac:dyDescent="0.2">
      <c r="A646" s="19"/>
      <c r="B646" s="19"/>
      <c r="C646" s="19" t="s">
        <v>501</v>
      </c>
      <c r="D646" s="20" t="s">
        <v>502</v>
      </c>
      <c r="E646" s="9">
        <f>Source!AT515</f>
        <v>70</v>
      </c>
      <c r="F646" s="22"/>
      <c r="G646" s="21"/>
      <c r="H646" s="9"/>
      <c r="I646" s="9"/>
      <c r="J646" s="22">
        <f>SUM(R643:R645)</f>
        <v>1112.73</v>
      </c>
      <c r="K646" s="22"/>
    </row>
    <row r="647" spans="1:22" ht="14.25" x14ac:dyDescent="0.2">
      <c r="A647" s="19"/>
      <c r="B647" s="19"/>
      <c r="C647" s="19" t="s">
        <v>503</v>
      </c>
      <c r="D647" s="20" t="s">
        <v>502</v>
      </c>
      <c r="E647" s="9">
        <f>Source!AU515</f>
        <v>10</v>
      </c>
      <c r="F647" s="22"/>
      <c r="G647" s="21"/>
      <c r="H647" s="9"/>
      <c r="I647" s="9"/>
      <c r="J647" s="22">
        <f>SUM(T643:T646)</f>
        <v>158.96</v>
      </c>
      <c r="K647" s="22"/>
    </row>
    <row r="648" spans="1:22" ht="14.25" x14ac:dyDescent="0.2">
      <c r="A648" s="19"/>
      <c r="B648" s="19"/>
      <c r="C648" s="19" t="s">
        <v>504</v>
      </c>
      <c r="D648" s="20" t="s">
        <v>505</v>
      </c>
      <c r="E648" s="9">
        <f>Source!AQ515</f>
        <v>26.7</v>
      </c>
      <c r="F648" s="22"/>
      <c r="G648" s="21" t="str">
        <f>Source!DI515</f>
        <v/>
      </c>
      <c r="H648" s="9">
        <f>Source!AV515</f>
        <v>1</v>
      </c>
      <c r="I648" s="9"/>
      <c r="J648" s="22"/>
      <c r="K648" s="22">
        <f>Source!U515</f>
        <v>2.67</v>
      </c>
    </row>
    <row r="649" spans="1:22" ht="15" x14ac:dyDescent="0.25">
      <c r="A649" s="25"/>
      <c r="B649" s="25"/>
      <c r="C649" s="25"/>
      <c r="D649" s="25"/>
      <c r="E649" s="25"/>
      <c r="F649" s="25"/>
      <c r="G649" s="25"/>
      <c r="H649" s="25"/>
      <c r="I649" s="52">
        <f>J645+J646+J647</f>
        <v>2861.3</v>
      </c>
      <c r="J649" s="52"/>
      <c r="K649" s="26">
        <f>IF(Source!I515&lt;&gt;0, ROUND(I649/Source!I515, 2), 0)</f>
        <v>28613</v>
      </c>
      <c r="P649" s="24">
        <f>I649</f>
        <v>2861.3</v>
      </c>
    </row>
    <row r="650" spans="1:22" ht="42.75" x14ac:dyDescent="0.2">
      <c r="A650" s="19">
        <v>63</v>
      </c>
      <c r="B650" s="19" t="str">
        <f>Source!F517</f>
        <v>1.23-2103-41-1/1</v>
      </c>
      <c r="C650" s="19" t="str">
        <f>Source!G517</f>
        <v>Техническое обслуживание регулирующего клапана / Смеситель для раковины</v>
      </c>
      <c r="D650" s="20" t="str">
        <f>Source!H517</f>
        <v>шт.</v>
      </c>
      <c r="E650" s="9">
        <f>Source!I517</f>
        <v>10</v>
      </c>
      <c r="F650" s="22"/>
      <c r="G650" s="21"/>
      <c r="H650" s="9"/>
      <c r="I650" s="9"/>
      <c r="J650" s="22"/>
      <c r="K650" s="22"/>
      <c r="Q650">
        <f>ROUND((Source!BZ517/100)*ROUND((Source!AF517*Source!AV517)*Source!I517, 2), 2)</f>
        <v>1456</v>
      </c>
      <c r="R650">
        <f>Source!X517</f>
        <v>1456</v>
      </c>
      <c r="S650">
        <f>ROUND((Source!CA517/100)*ROUND((Source!AF517*Source!AV517)*Source!I517, 2), 2)</f>
        <v>208</v>
      </c>
      <c r="T650">
        <f>Source!Y517</f>
        <v>208</v>
      </c>
      <c r="U650">
        <f>ROUND((175/100)*ROUND((Source!AE517*Source!AV517)*Source!I517, 2), 2)</f>
        <v>867.48</v>
      </c>
      <c r="V650">
        <f>ROUND((108/100)*ROUND(Source!CS517*Source!I517, 2), 2)</f>
        <v>535.36</v>
      </c>
    </row>
    <row r="651" spans="1:22" x14ac:dyDescent="0.2">
      <c r="C651" s="23" t="str">
        <f>"Объем: "&amp;Source!I517&amp;"=(10)*"&amp;"1"</f>
        <v>Объем: 10=(10)*1</v>
      </c>
    </row>
    <row r="652" spans="1:22" ht="14.25" x14ac:dyDescent="0.2">
      <c r="A652" s="19"/>
      <c r="B652" s="19"/>
      <c r="C652" s="19" t="s">
        <v>500</v>
      </c>
      <c r="D652" s="20"/>
      <c r="E652" s="9"/>
      <c r="F652" s="22">
        <f>Source!AO517</f>
        <v>208</v>
      </c>
      <c r="G652" s="21" t="str">
        <f>Source!DG517</f>
        <v/>
      </c>
      <c r="H652" s="9">
        <f>Source!AV517</f>
        <v>1</v>
      </c>
      <c r="I652" s="9">
        <f>IF(Source!BA517&lt;&gt; 0, Source!BA517, 1)</f>
        <v>1</v>
      </c>
      <c r="J652" s="22">
        <f>Source!S517</f>
        <v>2080</v>
      </c>
      <c r="K652" s="22"/>
    </row>
    <row r="653" spans="1:22" ht="14.25" x14ac:dyDescent="0.2">
      <c r="A653" s="19"/>
      <c r="B653" s="19"/>
      <c r="C653" s="19" t="s">
        <v>506</v>
      </c>
      <c r="D653" s="20"/>
      <c r="E653" s="9"/>
      <c r="F653" s="22">
        <f>Source!AM517</f>
        <v>78.180000000000007</v>
      </c>
      <c r="G653" s="21" t="str">
        <f>Source!DE517</f>
        <v/>
      </c>
      <c r="H653" s="9">
        <f>Source!AV517</f>
        <v>1</v>
      </c>
      <c r="I653" s="9">
        <f>IF(Source!BB517&lt;&gt; 0, Source!BB517, 1)</f>
        <v>1</v>
      </c>
      <c r="J653" s="22">
        <f>Source!Q517</f>
        <v>781.8</v>
      </c>
      <c r="K653" s="22"/>
    </row>
    <row r="654" spans="1:22" ht="14.25" x14ac:dyDescent="0.2">
      <c r="A654" s="19"/>
      <c r="B654" s="19"/>
      <c r="C654" s="19" t="s">
        <v>507</v>
      </c>
      <c r="D654" s="20"/>
      <c r="E654" s="9"/>
      <c r="F654" s="22">
        <f>Source!AN517</f>
        <v>49.57</v>
      </c>
      <c r="G654" s="21" t="str">
        <f>Source!DF517</f>
        <v/>
      </c>
      <c r="H654" s="9">
        <f>Source!AV517</f>
        <v>1</v>
      </c>
      <c r="I654" s="9">
        <f>IF(Source!BS517&lt;&gt; 0, Source!BS517, 1)</f>
        <v>1</v>
      </c>
      <c r="J654" s="27">
        <f>Source!R517</f>
        <v>495.7</v>
      </c>
      <c r="K654" s="22"/>
    </row>
    <row r="655" spans="1:22" ht="14.25" x14ac:dyDescent="0.2">
      <c r="A655" s="19"/>
      <c r="B655" s="19"/>
      <c r="C655" s="19" t="s">
        <v>501</v>
      </c>
      <c r="D655" s="20" t="s">
        <v>502</v>
      </c>
      <c r="E655" s="9">
        <f>Source!AT517</f>
        <v>70</v>
      </c>
      <c r="F655" s="22"/>
      <c r="G655" s="21"/>
      <c r="H655" s="9"/>
      <c r="I655" s="9"/>
      <c r="J655" s="22">
        <f>SUM(R650:R654)</f>
        <v>1456</v>
      </c>
      <c r="K655" s="22"/>
    </row>
    <row r="656" spans="1:22" ht="14.25" x14ac:dyDescent="0.2">
      <c r="A656" s="19"/>
      <c r="B656" s="19"/>
      <c r="C656" s="19" t="s">
        <v>503</v>
      </c>
      <c r="D656" s="20" t="s">
        <v>502</v>
      </c>
      <c r="E656" s="9">
        <f>Source!AU517</f>
        <v>10</v>
      </c>
      <c r="F656" s="22"/>
      <c r="G656" s="21"/>
      <c r="H656" s="9"/>
      <c r="I656" s="9"/>
      <c r="J656" s="22">
        <f>SUM(T650:T655)</f>
        <v>208</v>
      </c>
      <c r="K656" s="22"/>
    </row>
    <row r="657" spans="1:22" ht="14.25" x14ac:dyDescent="0.2">
      <c r="A657" s="19"/>
      <c r="B657" s="19"/>
      <c r="C657" s="19" t="s">
        <v>509</v>
      </c>
      <c r="D657" s="20" t="s">
        <v>502</v>
      </c>
      <c r="E657" s="9">
        <f>108</f>
        <v>108</v>
      </c>
      <c r="F657" s="22"/>
      <c r="G657" s="21"/>
      <c r="H657" s="9"/>
      <c r="I657" s="9"/>
      <c r="J657" s="22">
        <f>SUM(V650:V656)</f>
        <v>535.36</v>
      </c>
      <c r="K657" s="22"/>
    </row>
    <row r="658" spans="1:22" ht="14.25" x14ac:dyDescent="0.2">
      <c r="A658" s="19"/>
      <c r="B658" s="19"/>
      <c r="C658" s="19" t="s">
        <v>504</v>
      </c>
      <c r="D658" s="20" t="s">
        <v>505</v>
      </c>
      <c r="E658" s="9">
        <f>Source!AQ517</f>
        <v>0.37</v>
      </c>
      <c r="F658" s="22"/>
      <c r="G658" s="21" t="str">
        <f>Source!DI517</f>
        <v/>
      </c>
      <c r="H658" s="9">
        <f>Source!AV517</f>
        <v>1</v>
      </c>
      <c r="I658" s="9"/>
      <c r="J658" s="22"/>
      <c r="K658" s="22">
        <f>Source!U517</f>
        <v>3.7</v>
      </c>
    </row>
    <row r="659" spans="1:22" ht="15" x14ac:dyDescent="0.25">
      <c r="A659" s="25"/>
      <c r="B659" s="25"/>
      <c r="C659" s="25"/>
      <c r="D659" s="25"/>
      <c r="E659" s="25"/>
      <c r="F659" s="25"/>
      <c r="G659" s="25"/>
      <c r="H659" s="25"/>
      <c r="I659" s="52">
        <f>J652+J653+J655+J656+J657</f>
        <v>5061.16</v>
      </c>
      <c r="J659" s="52"/>
      <c r="K659" s="26">
        <f>IF(Source!I517&lt;&gt;0, ROUND(I659/Source!I517, 2), 0)</f>
        <v>506.12</v>
      </c>
      <c r="P659" s="24">
        <f>I659</f>
        <v>5061.16</v>
      </c>
    </row>
    <row r="660" spans="1:22" ht="28.5" x14ac:dyDescent="0.2">
      <c r="A660" s="19">
        <v>64</v>
      </c>
      <c r="B660" s="19" t="str">
        <f>Source!F518</f>
        <v>1.16-2203-1-1/1</v>
      </c>
      <c r="C660" s="19" t="str">
        <f>Source!G518</f>
        <v>Прочистка сифонов</v>
      </c>
      <c r="D660" s="20" t="str">
        <f>Source!H518</f>
        <v>100 шт.</v>
      </c>
      <c r="E660" s="9">
        <f>Source!I518</f>
        <v>0.1</v>
      </c>
      <c r="F660" s="22"/>
      <c r="G660" s="21"/>
      <c r="H660" s="9"/>
      <c r="I660" s="9"/>
      <c r="J660" s="22"/>
      <c r="K660" s="22"/>
      <c r="Q660">
        <f>ROUND((Source!BZ518/100)*ROUND((Source!AF518*Source!AV518)*Source!I518, 2), 2)</f>
        <v>3976.55</v>
      </c>
      <c r="R660">
        <f>Source!X518</f>
        <v>3976.55</v>
      </c>
      <c r="S660">
        <f>ROUND((Source!CA518/100)*ROUND((Source!AF518*Source!AV518)*Source!I518, 2), 2)</f>
        <v>568.08000000000004</v>
      </c>
      <c r="T660">
        <f>Source!Y518</f>
        <v>568.08000000000004</v>
      </c>
      <c r="U660">
        <f>ROUND((175/100)*ROUND((Source!AE518*Source!AV518)*Source!I518, 2), 2)</f>
        <v>0</v>
      </c>
      <c r="V660">
        <f>ROUND((108/100)*ROUND(Source!CS518*Source!I518, 2), 2)</f>
        <v>0</v>
      </c>
    </row>
    <row r="661" spans="1:22" x14ac:dyDescent="0.2">
      <c r="C661" s="23" t="str">
        <f>"Объем: "&amp;Source!I518&amp;"=(10)*"&amp;"1/"&amp;"100"</f>
        <v>Объем: 0,1=(10)*1/100</v>
      </c>
    </row>
    <row r="662" spans="1:22" ht="14.25" x14ac:dyDescent="0.2">
      <c r="A662" s="19"/>
      <c r="B662" s="19"/>
      <c r="C662" s="19" t="s">
        <v>500</v>
      </c>
      <c r="D662" s="20"/>
      <c r="E662" s="9"/>
      <c r="F662" s="22">
        <f>Source!AO518</f>
        <v>14201.94</v>
      </c>
      <c r="G662" s="21" t="str">
        <f>Source!DG518</f>
        <v>)*4</v>
      </c>
      <c r="H662" s="9">
        <f>Source!AV518</f>
        <v>1</v>
      </c>
      <c r="I662" s="9">
        <f>IF(Source!BA518&lt;&gt; 0, Source!BA518, 1)</f>
        <v>1</v>
      </c>
      <c r="J662" s="22">
        <f>Source!S518</f>
        <v>5680.78</v>
      </c>
      <c r="K662" s="22"/>
    </row>
    <row r="663" spans="1:22" ht="14.25" x14ac:dyDescent="0.2">
      <c r="A663" s="19"/>
      <c r="B663" s="19"/>
      <c r="C663" s="19" t="s">
        <v>508</v>
      </c>
      <c r="D663" s="20"/>
      <c r="E663" s="9"/>
      <c r="F663" s="22">
        <f>Source!AL518</f>
        <v>243.57</v>
      </c>
      <c r="G663" s="21" t="str">
        <f>Source!DD518</f>
        <v>)*4</v>
      </c>
      <c r="H663" s="9">
        <f>Source!AW518</f>
        <v>1</v>
      </c>
      <c r="I663" s="9">
        <f>IF(Source!BC518&lt;&gt; 0, Source!BC518, 1)</f>
        <v>1</v>
      </c>
      <c r="J663" s="22">
        <f>Source!P518</f>
        <v>97.43</v>
      </c>
      <c r="K663" s="22"/>
    </row>
    <row r="664" spans="1:22" ht="14.25" x14ac:dyDescent="0.2">
      <c r="A664" s="19"/>
      <c r="B664" s="19"/>
      <c r="C664" s="19" t="s">
        <v>501</v>
      </c>
      <c r="D664" s="20" t="s">
        <v>502</v>
      </c>
      <c r="E664" s="9">
        <f>Source!AT518</f>
        <v>70</v>
      </c>
      <c r="F664" s="22"/>
      <c r="G664" s="21"/>
      <c r="H664" s="9"/>
      <c r="I664" s="9"/>
      <c r="J664" s="22">
        <f>SUM(R660:R663)</f>
        <v>3976.55</v>
      </c>
      <c r="K664" s="22"/>
    </row>
    <row r="665" spans="1:22" ht="14.25" x14ac:dyDescent="0.2">
      <c r="A665" s="19"/>
      <c r="B665" s="19"/>
      <c r="C665" s="19" t="s">
        <v>503</v>
      </c>
      <c r="D665" s="20" t="s">
        <v>502</v>
      </c>
      <c r="E665" s="9">
        <f>Source!AU518</f>
        <v>10</v>
      </c>
      <c r="F665" s="22"/>
      <c r="G665" s="21"/>
      <c r="H665" s="9"/>
      <c r="I665" s="9"/>
      <c r="J665" s="22">
        <f>SUM(T660:T664)</f>
        <v>568.08000000000004</v>
      </c>
      <c r="K665" s="22"/>
    </row>
    <row r="666" spans="1:22" ht="14.25" x14ac:dyDescent="0.2">
      <c r="A666" s="19"/>
      <c r="B666" s="19"/>
      <c r="C666" s="19" t="s">
        <v>504</v>
      </c>
      <c r="D666" s="20" t="s">
        <v>505</v>
      </c>
      <c r="E666" s="9">
        <f>Source!AQ518</f>
        <v>28.02</v>
      </c>
      <c r="F666" s="22"/>
      <c r="G666" s="21" t="str">
        <f>Source!DI518</f>
        <v>)*4</v>
      </c>
      <c r="H666" s="9">
        <f>Source!AV518</f>
        <v>1</v>
      </c>
      <c r="I666" s="9"/>
      <c r="J666" s="22"/>
      <c r="K666" s="22">
        <f>Source!U518</f>
        <v>11.208</v>
      </c>
    </row>
    <row r="667" spans="1:22" ht="15" x14ac:dyDescent="0.25">
      <c r="A667" s="25"/>
      <c r="B667" s="25"/>
      <c r="C667" s="25"/>
      <c r="D667" s="25"/>
      <c r="E667" s="25"/>
      <c r="F667" s="25"/>
      <c r="G667" s="25"/>
      <c r="H667" s="25"/>
      <c r="I667" s="52">
        <f>J662+J663+J664+J665</f>
        <v>10322.84</v>
      </c>
      <c r="J667" s="52"/>
      <c r="K667" s="26">
        <f>IF(Source!I518&lt;&gt;0, ROUND(I667/Source!I518, 2), 0)</f>
        <v>103228.4</v>
      </c>
      <c r="P667" s="24">
        <f>I667</f>
        <v>10322.84</v>
      </c>
    </row>
    <row r="668" spans="1:22" ht="42.75" x14ac:dyDescent="0.2">
      <c r="A668" s="19">
        <v>65</v>
      </c>
      <c r="B668" s="19" t="str">
        <f>Source!F519</f>
        <v>1.23-2103-41-1/1</v>
      </c>
      <c r="C668" s="19" t="str">
        <f>Source!G519</f>
        <v>Техническое обслуживание регулирующего клапана / Смеситель для раковины / для зоны кухни</v>
      </c>
      <c r="D668" s="20" t="str">
        <f>Source!H519</f>
        <v>шт.</v>
      </c>
      <c r="E668" s="9">
        <f>Source!I519</f>
        <v>10</v>
      </c>
      <c r="F668" s="22"/>
      <c r="G668" s="21"/>
      <c r="H668" s="9"/>
      <c r="I668" s="9"/>
      <c r="J668" s="22"/>
      <c r="K668" s="22"/>
      <c r="Q668">
        <f>ROUND((Source!BZ519/100)*ROUND((Source!AF519*Source!AV519)*Source!I519, 2), 2)</f>
        <v>1456</v>
      </c>
      <c r="R668">
        <f>Source!X519</f>
        <v>1456</v>
      </c>
      <c r="S668">
        <f>ROUND((Source!CA519/100)*ROUND((Source!AF519*Source!AV519)*Source!I519, 2), 2)</f>
        <v>208</v>
      </c>
      <c r="T668">
        <f>Source!Y519</f>
        <v>208</v>
      </c>
      <c r="U668">
        <f>ROUND((175/100)*ROUND((Source!AE519*Source!AV519)*Source!I519, 2), 2)</f>
        <v>867.48</v>
      </c>
      <c r="V668">
        <f>ROUND((108/100)*ROUND(Source!CS519*Source!I519, 2), 2)</f>
        <v>535.36</v>
      </c>
    </row>
    <row r="669" spans="1:22" x14ac:dyDescent="0.2">
      <c r="C669" s="23" t="str">
        <f>"Объем: "&amp;Source!I519&amp;"=(10)*"&amp;"1"</f>
        <v>Объем: 10=(10)*1</v>
      </c>
    </row>
    <row r="670" spans="1:22" ht="14.25" x14ac:dyDescent="0.2">
      <c r="A670" s="19"/>
      <c r="B670" s="19"/>
      <c r="C670" s="19" t="s">
        <v>500</v>
      </c>
      <c r="D670" s="20"/>
      <c r="E670" s="9"/>
      <c r="F670" s="22">
        <f>Source!AO519</f>
        <v>208</v>
      </c>
      <c r="G670" s="21" t="str">
        <f>Source!DG519</f>
        <v/>
      </c>
      <c r="H670" s="9">
        <f>Source!AV519</f>
        <v>1</v>
      </c>
      <c r="I670" s="9">
        <f>IF(Source!BA519&lt;&gt; 0, Source!BA519, 1)</f>
        <v>1</v>
      </c>
      <c r="J670" s="22">
        <f>Source!S519</f>
        <v>2080</v>
      </c>
      <c r="K670" s="22"/>
    </row>
    <row r="671" spans="1:22" ht="14.25" x14ac:dyDescent="0.2">
      <c r="A671" s="19"/>
      <c r="B671" s="19"/>
      <c r="C671" s="19" t="s">
        <v>506</v>
      </c>
      <c r="D671" s="20"/>
      <c r="E671" s="9"/>
      <c r="F671" s="22">
        <f>Source!AM519</f>
        <v>78.180000000000007</v>
      </c>
      <c r="G671" s="21" t="str">
        <f>Source!DE519</f>
        <v/>
      </c>
      <c r="H671" s="9">
        <f>Source!AV519</f>
        <v>1</v>
      </c>
      <c r="I671" s="9">
        <f>IF(Source!BB519&lt;&gt; 0, Source!BB519, 1)</f>
        <v>1</v>
      </c>
      <c r="J671" s="22">
        <f>Source!Q519</f>
        <v>781.8</v>
      </c>
      <c r="K671" s="22"/>
    </row>
    <row r="672" spans="1:22" ht="14.25" x14ac:dyDescent="0.2">
      <c r="A672" s="19"/>
      <c r="B672" s="19"/>
      <c r="C672" s="19" t="s">
        <v>507</v>
      </c>
      <c r="D672" s="20"/>
      <c r="E672" s="9"/>
      <c r="F672" s="22">
        <f>Source!AN519</f>
        <v>49.57</v>
      </c>
      <c r="G672" s="21" t="str">
        <f>Source!DF519</f>
        <v/>
      </c>
      <c r="H672" s="9">
        <f>Source!AV519</f>
        <v>1</v>
      </c>
      <c r="I672" s="9">
        <f>IF(Source!BS519&lt;&gt; 0, Source!BS519, 1)</f>
        <v>1</v>
      </c>
      <c r="J672" s="27">
        <f>Source!R519</f>
        <v>495.7</v>
      </c>
      <c r="K672" s="22"/>
    </row>
    <row r="673" spans="1:22" ht="14.25" x14ac:dyDescent="0.2">
      <c r="A673" s="19"/>
      <c r="B673" s="19"/>
      <c r="C673" s="19" t="s">
        <v>501</v>
      </c>
      <c r="D673" s="20" t="s">
        <v>502</v>
      </c>
      <c r="E673" s="9">
        <f>Source!AT519</f>
        <v>70</v>
      </c>
      <c r="F673" s="22"/>
      <c r="G673" s="21"/>
      <c r="H673" s="9"/>
      <c r="I673" s="9"/>
      <c r="J673" s="22">
        <f>SUM(R668:R672)</f>
        <v>1456</v>
      </c>
      <c r="K673" s="22"/>
    </row>
    <row r="674" spans="1:22" ht="14.25" x14ac:dyDescent="0.2">
      <c r="A674" s="19"/>
      <c r="B674" s="19"/>
      <c r="C674" s="19" t="s">
        <v>503</v>
      </c>
      <c r="D674" s="20" t="s">
        <v>502</v>
      </c>
      <c r="E674" s="9">
        <f>Source!AU519</f>
        <v>10</v>
      </c>
      <c r="F674" s="22"/>
      <c r="G674" s="21"/>
      <c r="H674" s="9"/>
      <c r="I674" s="9"/>
      <c r="J674" s="22">
        <f>SUM(T668:T673)</f>
        <v>208</v>
      </c>
      <c r="K674" s="22"/>
    </row>
    <row r="675" spans="1:22" ht="14.25" x14ac:dyDescent="0.2">
      <c r="A675" s="19"/>
      <c r="B675" s="19"/>
      <c r="C675" s="19" t="s">
        <v>509</v>
      </c>
      <c r="D675" s="20" t="s">
        <v>502</v>
      </c>
      <c r="E675" s="9">
        <f>108</f>
        <v>108</v>
      </c>
      <c r="F675" s="22"/>
      <c r="G675" s="21"/>
      <c r="H675" s="9"/>
      <c r="I675" s="9"/>
      <c r="J675" s="22">
        <f>SUM(V668:V674)</f>
        <v>535.36</v>
      </c>
      <c r="K675" s="22"/>
    </row>
    <row r="676" spans="1:22" ht="14.25" x14ac:dyDescent="0.2">
      <c r="A676" s="19"/>
      <c r="B676" s="19"/>
      <c r="C676" s="19" t="s">
        <v>504</v>
      </c>
      <c r="D676" s="20" t="s">
        <v>505</v>
      </c>
      <c r="E676" s="9">
        <f>Source!AQ519</f>
        <v>0.37</v>
      </c>
      <c r="F676" s="22"/>
      <c r="G676" s="21" t="str">
        <f>Source!DI519</f>
        <v/>
      </c>
      <c r="H676" s="9">
        <f>Source!AV519</f>
        <v>1</v>
      </c>
      <c r="I676" s="9"/>
      <c r="J676" s="22"/>
      <c r="K676" s="22">
        <f>Source!U519</f>
        <v>3.7</v>
      </c>
    </row>
    <row r="677" spans="1:22" ht="15" x14ac:dyDescent="0.25">
      <c r="A677" s="25"/>
      <c r="B677" s="25"/>
      <c r="C677" s="25"/>
      <c r="D677" s="25"/>
      <c r="E677" s="25"/>
      <c r="F677" s="25"/>
      <c r="G677" s="25"/>
      <c r="H677" s="25"/>
      <c r="I677" s="52">
        <f>J670+J671+J673+J674+J675</f>
        <v>5061.16</v>
      </c>
      <c r="J677" s="52"/>
      <c r="K677" s="26">
        <f>IF(Source!I519&lt;&gt;0, ROUND(I677/Source!I519, 2), 0)</f>
        <v>506.12</v>
      </c>
      <c r="P677" s="24">
        <f>I677</f>
        <v>5061.16</v>
      </c>
    </row>
    <row r="678" spans="1:22" ht="28.5" x14ac:dyDescent="0.2">
      <c r="A678" s="19">
        <v>66</v>
      </c>
      <c r="B678" s="19" t="str">
        <f>Source!F520</f>
        <v>1.16-2203-1-1/1</v>
      </c>
      <c r="C678" s="19" t="str">
        <f>Source!G520</f>
        <v>Прочистка сифонов / для зоны кухни</v>
      </c>
      <c r="D678" s="20" t="str">
        <f>Source!H520</f>
        <v>100 шт.</v>
      </c>
      <c r="E678" s="9">
        <f>Source!I520</f>
        <v>0.1</v>
      </c>
      <c r="F678" s="22"/>
      <c r="G678" s="21"/>
      <c r="H678" s="9"/>
      <c r="I678" s="9"/>
      <c r="J678" s="22"/>
      <c r="K678" s="22"/>
      <c r="Q678">
        <f>ROUND((Source!BZ520/100)*ROUND((Source!AF520*Source!AV520)*Source!I520, 2), 2)</f>
        <v>3976.55</v>
      </c>
      <c r="R678">
        <f>Source!X520</f>
        <v>3976.55</v>
      </c>
      <c r="S678">
        <f>ROUND((Source!CA520/100)*ROUND((Source!AF520*Source!AV520)*Source!I520, 2), 2)</f>
        <v>568.08000000000004</v>
      </c>
      <c r="T678">
        <f>Source!Y520</f>
        <v>568.08000000000004</v>
      </c>
      <c r="U678">
        <f>ROUND((175/100)*ROUND((Source!AE520*Source!AV520)*Source!I520, 2), 2)</f>
        <v>0</v>
      </c>
      <c r="V678">
        <f>ROUND((108/100)*ROUND(Source!CS520*Source!I520, 2), 2)</f>
        <v>0</v>
      </c>
    </row>
    <row r="679" spans="1:22" x14ac:dyDescent="0.2">
      <c r="C679" s="23" t="str">
        <f>"Объем: "&amp;Source!I520&amp;"=(10)*"&amp;"1/"&amp;"100"</f>
        <v>Объем: 0,1=(10)*1/100</v>
      </c>
    </row>
    <row r="680" spans="1:22" ht="14.25" x14ac:dyDescent="0.2">
      <c r="A680" s="19"/>
      <c r="B680" s="19"/>
      <c r="C680" s="19" t="s">
        <v>500</v>
      </c>
      <c r="D680" s="20"/>
      <c r="E680" s="9"/>
      <c r="F680" s="22">
        <f>Source!AO520</f>
        <v>14201.94</v>
      </c>
      <c r="G680" s="21" t="str">
        <f>Source!DG520</f>
        <v>)*4</v>
      </c>
      <c r="H680" s="9">
        <f>Source!AV520</f>
        <v>1</v>
      </c>
      <c r="I680" s="9">
        <f>IF(Source!BA520&lt;&gt; 0, Source!BA520, 1)</f>
        <v>1</v>
      </c>
      <c r="J680" s="22">
        <f>Source!S520</f>
        <v>5680.78</v>
      </c>
      <c r="K680" s="22"/>
    </row>
    <row r="681" spans="1:22" ht="14.25" x14ac:dyDescent="0.2">
      <c r="A681" s="19"/>
      <c r="B681" s="19"/>
      <c r="C681" s="19" t="s">
        <v>508</v>
      </c>
      <c r="D681" s="20"/>
      <c r="E681" s="9"/>
      <c r="F681" s="22">
        <f>Source!AL520</f>
        <v>243.57</v>
      </c>
      <c r="G681" s="21" t="str">
        <f>Source!DD520</f>
        <v>)*4</v>
      </c>
      <c r="H681" s="9">
        <f>Source!AW520</f>
        <v>1</v>
      </c>
      <c r="I681" s="9">
        <f>IF(Source!BC520&lt;&gt; 0, Source!BC520, 1)</f>
        <v>1</v>
      </c>
      <c r="J681" s="22">
        <f>Source!P520</f>
        <v>97.43</v>
      </c>
      <c r="K681" s="22"/>
    </row>
    <row r="682" spans="1:22" ht="14.25" x14ac:dyDescent="0.2">
      <c r="A682" s="19"/>
      <c r="B682" s="19"/>
      <c r="C682" s="19" t="s">
        <v>501</v>
      </c>
      <c r="D682" s="20" t="s">
        <v>502</v>
      </c>
      <c r="E682" s="9">
        <f>Source!AT520</f>
        <v>70</v>
      </c>
      <c r="F682" s="22"/>
      <c r="G682" s="21"/>
      <c r="H682" s="9"/>
      <c r="I682" s="9"/>
      <c r="J682" s="22">
        <f>SUM(R678:R681)</f>
        <v>3976.55</v>
      </c>
      <c r="K682" s="22"/>
    </row>
    <row r="683" spans="1:22" ht="14.25" x14ac:dyDescent="0.2">
      <c r="A683" s="19"/>
      <c r="B683" s="19"/>
      <c r="C683" s="19" t="s">
        <v>503</v>
      </c>
      <c r="D683" s="20" t="s">
        <v>502</v>
      </c>
      <c r="E683" s="9">
        <f>Source!AU520</f>
        <v>10</v>
      </c>
      <c r="F683" s="22"/>
      <c r="G683" s="21"/>
      <c r="H683" s="9"/>
      <c r="I683" s="9"/>
      <c r="J683" s="22">
        <f>SUM(T678:T682)</f>
        <v>568.08000000000004</v>
      </c>
      <c r="K683" s="22"/>
    </row>
    <row r="684" spans="1:22" ht="14.25" x14ac:dyDescent="0.2">
      <c r="A684" s="19"/>
      <c r="B684" s="19"/>
      <c r="C684" s="19" t="s">
        <v>504</v>
      </c>
      <c r="D684" s="20" t="s">
        <v>505</v>
      </c>
      <c r="E684" s="9">
        <f>Source!AQ520</f>
        <v>28.02</v>
      </c>
      <c r="F684" s="22"/>
      <c r="G684" s="21" t="str">
        <f>Source!DI520</f>
        <v>)*4</v>
      </c>
      <c r="H684" s="9">
        <f>Source!AV520</f>
        <v>1</v>
      </c>
      <c r="I684" s="9"/>
      <c r="J684" s="22"/>
      <c r="K684" s="22">
        <f>Source!U520</f>
        <v>11.208</v>
      </c>
    </row>
    <row r="685" spans="1:22" ht="15" x14ac:dyDescent="0.25">
      <c r="A685" s="25"/>
      <c r="B685" s="25"/>
      <c r="C685" s="25"/>
      <c r="D685" s="25"/>
      <c r="E685" s="25"/>
      <c r="F685" s="25"/>
      <c r="G685" s="25"/>
      <c r="H685" s="25"/>
      <c r="I685" s="52">
        <f>J680+J681+J682+J683</f>
        <v>10322.84</v>
      </c>
      <c r="J685" s="52"/>
      <c r="K685" s="26">
        <f>IF(Source!I520&lt;&gt;0, ROUND(I685/Source!I520, 2), 0)</f>
        <v>103228.4</v>
      </c>
      <c r="P685" s="24">
        <f>I685</f>
        <v>10322.84</v>
      </c>
    </row>
    <row r="686" spans="1:22" ht="57" x14ac:dyDescent="0.2">
      <c r="A686" s="19">
        <v>67</v>
      </c>
      <c r="B686" s="19" t="str">
        <f>Source!F522</f>
        <v>1.23-2103-41-1/1</v>
      </c>
      <c r="C686" s="19" t="str">
        <f>Source!G522</f>
        <v>Техническое обслуживание регулирующего клапана / Смеситель душевой с лейкой с тропическим душем</v>
      </c>
      <c r="D686" s="20" t="str">
        <f>Source!H522</f>
        <v>шт.</v>
      </c>
      <c r="E686" s="9">
        <f>Source!I522</f>
        <v>10</v>
      </c>
      <c r="F686" s="22"/>
      <c r="G686" s="21"/>
      <c r="H686" s="9"/>
      <c r="I686" s="9"/>
      <c r="J686" s="22"/>
      <c r="K686" s="22"/>
      <c r="Q686">
        <f>ROUND((Source!BZ522/100)*ROUND((Source!AF522*Source!AV522)*Source!I522, 2), 2)</f>
        <v>1456</v>
      </c>
      <c r="R686">
        <f>Source!X522</f>
        <v>1456</v>
      </c>
      <c r="S686">
        <f>ROUND((Source!CA522/100)*ROUND((Source!AF522*Source!AV522)*Source!I522, 2), 2)</f>
        <v>208</v>
      </c>
      <c r="T686">
        <f>Source!Y522</f>
        <v>208</v>
      </c>
      <c r="U686">
        <f>ROUND((175/100)*ROUND((Source!AE522*Source!AV522)*Source!I522, 2), 2)</f>
        <v>867.48</v>
      </c>
      <c r="V686">
        <f>ROUND((108/100)*ROUND(Source!CS522*Source!I522, 2), 2)</f>
        <v>535.36</v>
      </c>
    </row>
    <row r="687" spans="1:22" x14ac:dyDescent="0.2">
      <c r="C687" s="23" t="str">
        <f>"Объем: "&amp;Source!I522&amp;"=(1)*"&amp;"10"</f>
        <v>Объем: 10=(1)*10</v>
      </c>
    </row>
    <row r="688" spans="1:22" ht="14.25" x14ac:dyDescent="0.2">
      <c r="A688" s="19"/>
      <c r="B688" s="19"/>
      <c r="C688" s="19" t="s">
        <v>500</v>
      </c>
      <c r="D688" s="20"/>
      <c r="E688" s="9"/>
      <c r="F688" s="22">
        <f>Source!AO522</f>
        <v>208</v>
      </c>
      <c r="G688" s="21" t="str">
        <f>Source!DG522</f>
        <v/>
      </c>
      <c r="H688" s="9">
        <f>Source!AV522</f>
        <v>1</v>
      </c>
      <c r="I688" s="9">
        <f>IF(Source!BA522&lt;&gt; 0, Source!BA522, 1)</f>
        <v>1</v>
      </c>
      <c r="J688" s="22">
        <f>Source!S522</f>
        <v>2080</v>
      </c>
      <c r="K688" s="22"/>
    </row>
    <row r="689" spans="1:22" ht="14.25" x14ac:dyDescent="0.2">
      <c r="A689" s="19"/>
      <c r="B689" s="19"/>
      <c r="C689" s="19" t="s">
        <v>506</v>
      </c>
      <c r="D689" s="20"/>
      <c r="E689" s="9"/>
      <c r="F689" s="22">
        <f>Source!AM522</f>
        <v>78.180000000000007</v>
      </c>
      <c r="G689" s="21" t="str">
        <f>Source!DE522</f>
        <v/>
      </c>
      <c r="H689" s="9">
        <f>Source!AV522</f>
        <v>1</v>
      </c>
      <c r="I689" s="9">
        <f>IF(Source!BB522&lt;&gt; 0, Source!BB522, 1)</f>
        <v>1</v>
      </c>
      <c r="J689" s="22">
        <f>Source!Q522</f>
        <v>781.8</v>
      </c>
      <c r="K689" s="22"/>
    </row>
    <row r="690" spans="1:22" ht="14.25" x14ac:dyDescent="0.2">
      <c r="A690" s="19"/>
      <c r="B690" s="19"/>
      <c r="C690" s="19" t="s">
        <v>507</v>
      </c>
      <c r="D690" s="20"/>
      <c r="E690" s="9"/>
      <c r="F690" s="22">
        <f>Source!AN522</f>
        <v>49.57</v>
      </c>
      <c r="G690" s="21" t="str">
        <f>Source!DF522</f>
        <v/>
      </c>
      <c r="H690" s="9">
        <f>Source!AV522</f>
        <v>1</v>
      </c>
      <c r="I690" s="9">
        <f>IF(Source!BS522&lt;&gt; 0, Source!BS522, 1)</f>
        <v>1</v>
      </c>
      <c r="J690" s="27">
        <f>Source!R522</f>
        <v>495.7</v>
      </c>
      <c r="K690" s="22"/>
    </row>
    <row r="691" spans="1:22" ht="14.25" x14ac:dyDescent="0.2">
      <c r="A691" s="19"/>
      <c r="B691" s="19"/>
      <c r="C691" s="19" t="s">
        <v>501</v>
      </c>
      <c r="D691" s="20" t="s">
        <v>502</v>
      </c>
      <c r="E691" s="9">
        <f>Source!AT522</f>
        <v>70</v>
      </c>
      <c r="F691" s="22"/>
      <c r="G691" s="21"/>
      <c r="H691" s="9"/>
      <c r="I691" s="9"/>
      <c r="J691" s="22">
        <f>SUM(R686:R690)</f>
        <v>1456</v>
      </c>
      <c r="K691" s="22"/>
    </row>
    <row r="692" spans="1:22" ht="14.25" x14ac:dyDescent="0.2">
      <c r="A692" s="19"/>
      <c r="B692" s="19"/>
      <c r="C692" s="19" t="s">
        <v>503</v>
      </c>
      <c r="D692" s="20" t="s">
        <v>502</v>
      </c>
      <c r="E692" s="9">
        <f>Source!AU522</f>
        <v>10</v>
      </c>
      <c r="F692" s="22"/>
      <c r="G692" s="21"/>
      <c r="H692" s="9"/>
      <c r="I692" s="9"/>
      <c r="J692" s="22">
        <f>SUM(T686:T691)</f>
        <v>208</v>
      </c>
      <c r="K692" s="22"/>
    </row>
    <row r="693" spans="1:22" ht="14.25" x14ac:dyDescent="0.2">
      <c r="A693" s="19"/>
      <c r="B693" s="19"/>
      <c r="C693" s="19" t="s">
        <v>509</v>
      </c>
      <c r="D693" s="20" t="s">
        <v>502</v>
      </c>
      <c r="E693" s="9">
        <f>108</f>
        <v>108</v>
      </c>
      <c r="F693" s="22"/>
      <c r="G693" s="21"/>
      <c r="H693" s="9"/>
      <c r="I693" s="9"/>
      <c r="J693" s="22">
        <f>SUM(V686:V692)</f>
        <v>535.36</v>
      </c>
      <c r="K693" s="22"/>
    </row>
    <row r="694" spans="1:22" ht="14.25" x14ac:dyDescent="0.2">
      <c r="A694" s="19"/>
      <c r="B694" s="19"/>
      <c r="C694" s="19" t="s">
        <v>504</v>
      </c>
      <c r="D694" s="20" t="s">
        <v>505</v>
      </c>
      <c r="E694" s="9">
        <f>Source!AQ522</f>
        <v>0.37</v>
      </c>
      <c r="F694" s="22"/>
      <c r="G694" s="21" t="str">
        <f>Source!DI522</f>
        <v/>
      </c>
      <c r="H694" s="9">
        <f>Source!AV522</f>
        <v>1</v>
      </c>
      <c r="I694" s="9"/>
      <c r="J694" s="22"/>
      <c r="K694" s="22">
        <f>Source!U522</f>
        <v>3.7</v>
      </c>
    </row>
    <row r="695" spans="1:22" ht="15" x14ac:dyDescent="0.25">
      <c r="A695" s="25"/>
      <c r="B695" s="25"/>
      <c r="C695" s="25"/>
      <c r="D695" s="25"/>
      <c r="E695" s="25"/>
      <c r="F695" s="25"/>
      <c r="G695" s="25"/>
      <c r="H695" s="25"/>
      <c r="I695" s="52">
        <f>J688+J689+J691+J692+J693</f>
        <v>5061.16</v>
      </c>
      <c r="J695" s="52"/>
      <c r="K695" s="26">
        <f>IF(Source!I522&lt;&gt;0, ROUND(I695/Source!I522, 2), 0)</f>
        <v>506.12</v>
      </c>
      <c r="P695" s="24">
        <f>I695</f>
        <v>5061.16</v>
      </c>
    </row>
    <row r="696" spans="1:22" ht="28.5" x14ac:dyDescent="0.2">
      <c r="A696" s="19">
        <v>68</v>
      </c>
      <c r="B696" s="19" t="str">
        <f>Source!F527</f>
        <v>1.15-2303-4-1/1</v>
      </c>
      <c r="C696" s="19" t="str">
        <f>Source!G527</f>
        <v>Прочистка сетчатых фильтров грубой очистки воды диаметром до 25 мм</v>
      </c>
      <c r="D696" s="20" t="str">
        <f>Source!H527</f>
        <v>10 шт.</v>
      </c>
      <c r="E696" s="9">
        <f>Source!I527</f>
        <v>1</v>
      </c>
      <c r="F696" s="22"/>
      <c r="G696" s="21"/>
      <c r="H696" s="9"/>
      <c r="I696" s="9"/>
      <c r="J696" s="22"/>
      <c r="K696" s="22"/>
      <c r="Q696">
        <f>ROUND((Source!BZ527/100)*ROUND((Source!AF527*Source!AV527)*Source!I527, 2), 2)</f>
        <v>1763.55</v>
      </c>
      <c r="R696">
        <f>Source!X527</f>
        <v>1763.55</v>
      </c>
      <c r="S696">
        <f>ROUND((Source!CA527/100)*ROUND((Source!AF527*Source!AV527)*Source!I527, 2), 2)</f>
        <v>251.94</v>
      </c>
      <c r="T696">
        <f>Source!Y527</f>
        <v>251.94</v>
      </c>
      <c r="U696">
        <f>ROUND((175/100)*ROUND((Source!AE527*Source!AV527)*Source!I527, 2), 2)</f>
        <v>0</v>
      </c>
      <c r="V696">
        <f>ROUND((108/100)*ROUND(Source!CS527*Source!I527, 2), 2)</f>
        <v>0</v>
      </c>
    </row>
    <row r="697" spans="1:22" x14ac:dyDescent="0.2">
      <c r="C697" s="23" t="str">
        <f>"Объем: "&amp;Source!I527&amp;"=10/"&amp;"10"</f>
        <v>Объем: 1=10/10</v>
      </c>
    </row>
    <row r="698" spans="1:22" ht="14.25" x14ac:dyDescent="0.2">
      <c r="A698" s="19"/>
      <c r="B698" s="19"/>
      <c r="C698" s="19" t="s">
        <v>500</v>
      </c>
      <c r="D698" s="20"/>
      <c r="E698" s="9"/>
      <c r="F698" s="22">
        <f>Source!AO527</f>
        <v>1259.68</v>
      </c>
      <c r="G698" s="21" t="str">
        <f>Source!DG527</f>
        <v>)*2</v>
      </c>
      <c r="H698" s="9">
        <f>Source!AV527</f>
        <v>1</v>
      </c>
      <c r="I698" s="9">
        <f>IF(Source!BA527&lt;&gt; 0, Source!BA527, 1)</f>
        <v>1</v>
      </c>
      <c r="J698" s="22">
        <f>Source!S527</f>
        <v>2519.36</v>
      </c>
      <c r="K698" s="22"/>
    </row>
    <row r="699" spans="1:22" ht="14.25" x14ac:dyDescent="0.2">
      <c r="A699" s="19"/>
      <c r="B699" s="19"/>
      <c r="C699" s="19" t="s">
        <v>501</v>
      </c>
      <c r="D699" s="20" t="s">
        <v>502</v>
      </c>
      <c r="E699" s="9">
        <f>Source!AT527</f>
        <v>70</v>
      </c>
      <c r="F699" s="22"/>
      <c r="G699" s="21"/>
      <c r="H699" s="9"/>
      <c r="I699" s="9"/>
      <c r="J699" s="22">
        <f>SUM(R696:R698)</f>
        <v>1763.55</v>
      </c>
      <c r="K699" s="22"/>
    </row>
    <row r="700" spans="1:22" ht="14.25" x14ac:dyDescent="0.2">
      <c r="A700" s="19"/>
      <c r="B700" s="19"/>
      <c r="C700" s="19" t="s">
        <v>503</v>
      </c>
      <c r="D700" s="20" t="s">
        <v>502</v>
      </c>
      <c r="E700" s="9">
        <f>Source!AU527</f>
        <v>10</v>
      </c>
      <c r="F700" s="22"/>
      <c r="G700" s="21"/>
      <c r="H700" s="9"/>
      <c r="I700" s="9"/>
      <c r="J700" s="22">
        <f>SUM(T696:T699)</f>
        <v>251.94</v>
      </c>
      <c r="K700" s="22"/>
    </row>
    <row r="701" spans="1:22" ht="14.25" x14ac:dyDescent="0.2">
      <c r="A701" s="19"/>
      <c r="B701" s="19"/>
      <c r="C701" s="19" t="s">
        <v>504</v>
      </c>
      <c r="D701" s="20" t="s">
        <v>505</v>
      </c>
      <c r="E701" s="9">
        <f>Source!AQ527</f>
        <v>2.04</v>
      </c>
      <c r="F701" s="22"/>
      <c r="G701" s="21" t="str">
        <f>Source!DI527</f>
        <v>)*2</v>
      </c>
      <c r="H701" s="9">
        <f>Source!AV527</f>
        <v>1</v>
      </c>
      <c r="I701" s="9"/>
      <c r="J701" s="22"/>
      <c r="K701" s="22">
        <f>Source!U527</f>
        <v>4.08</v>
      </c>
    </row>
    <row r="702" spans="1:22" ht="15" x14ac:dyDescent="0.25">
      <c r="A702" s="25"/>
      <c r="B702" s="25"/>
      <c r="C702" s="25"/>
      <c r="D702" s="25"/>
      <c r="E702" s="25"/>
      <c r="F702" s="25"/>
      <c r="G702" s="25"/>
      <c r="H702" s="25"/>
      <c r="I702" s="52">
        <f>J698+J699+J700</f>
        <v>4534.8499999999995</v>
      </c>
      <c r="J702" s="52"/>
      <c r="K702" s="26">
        <f>IF(Source!I527&lt;&gt;0, ROUND(I702/Source!I527, 2), 0)</f>
        <v>4534.8500000000004</v>
      </c>
      <c r="P702" s="24">
        <f>I702</f>
        <v>4534.8499999999995</v>
      </c>
    </row>
    <row r="703" spans="1:22" ht="42.75" x14ac:dyDescent="0.2">
      <c r="A703" s="19">
        <v>69</v>
      </c>
      <c r="B703" s="19" t="str">
        <f>Source!F528</f>
        <v>1.23-2103-41-1/1</v>
      </c>
      <c r="C703" s="19" t="str">
        <f>Source!G528</f>
        <v>Техническое обслуживание регулирующего клапана/ прим. Клапан предохранительный ДУ 15</v>
      </c>
      <c r="D703" s="20" t="str">
        <f>Source!H528</f>
        <v>шт.</v>
      </c>
      <c r="E703" s="9">
        <f>Source!I528</f>
        <v>10</v>
      </c>
      <c r="F703" s="22"/>
      <c r="G703" s="21"/>
      <c r="H703" s="9"/>
      <c r="I703" s="9"/>
      <c r="J703" s="22"/>
      <c r="K703" s="22"/>
      <c r="Q703">
        <f>ROUND((Source!BZ528/100)*ROUND((Source!AF528*Source!AV528)*Source!I528, 2), 2)</f>
        <v>2912</v>
      </c>
      <c r="R703">
        <f>Source!X528</f>
        <v>2912</v>
      </c>
      <c r="S703">
        <f>ROUND((Source!CA528/100)*ROUND((Source!AF528*Source!AV528)*Source!I528, 2), 2)</f>
        <v>416</v>
      </c>
      <c r="T703">
        <f>Source!Y528</f>
        <v>416</v>
      </c>
      <c r="U703">
        <f>ROUND((175/100)*ROUND((Source!AE528*Source!AV528)*Source!I528, 2), 2)</f>
        <v>1734.95</v>
      </c>
      <c r="V703">
        <f>ROUND((108/100)*ROUND(Source!CS528*Source!I528, 2), 2)</f>
        <v>1070.71</v>
      </c>
    </row>
    <row r="704" spans="1:22" x14ac:dyDescent="0.2">
      <c r="C704" s="23" t="str">
        <f>"Объем: "&amp;Source!I528&amp;"=1*"&amp;"10"</f>
        <v>Объем: 10=1*10</v>
      </c>
    </row>
    <row r="705" spans="1:22" ht="14.25" x14ac:dyDescent="0.2">
      <c r="A705" s="19"/>
      <c r="B705" s="19"/>
      <c r="C705" s="19" t="s">
        <v>500</v>
      </c>
      <c r="D705" s="20"/>
      <c r="E705" s="9"/>
      <c r="F705" s="22">
        <f>Source!AO528</f>
        <v>208</v>
      </c>
      <c r="G705" s="21" t="str">
        <f>Source!DG528</f>
        <v>)*2</v>
      </c>
      <c r="H705" s="9">
        <f>Source!AV528</f>
        <v>1</v>
      </c>
      <c r="I705" s="9">
        <f>IF(Source!BA528&lt;&gt; 0, Source!BA528, 1)</f>
        <v>1</v>
      </c>
      <c r="J705" s="22">
        <f>Source!S528</f>
        <v>4160</v>
      </c>
      <c r="K705" s="22"/>
    </row>
    <row r="706" spans="1:22" ht="14.25" x14ac:dyDescent="0.2">
      <c r="A706" s="19"/>
      <c r="B706" s="19"/>
      <c r="C706" s="19" t="s">
        <v>506</v>
      </c>
      <c r="D706" s="20"/>
      <c r="E706" s="9"/>
      <c r="F706" s="22">
        <f>Source!AM528</f>
        <v>78.180000000000007</v>
      </c>
      <c r="G706" s="21" t="str">
        <f>Source!DE528</f>
        <v>)*2</v>
      </c>
      <c r="H706" s="9">
        <f>Source!AV528</f>
        <v>1</v>
      </c>
      <c r="I706" s="9">
        <f>IF(Source!BB528&lt;&gt; 0, Source!BB528, 1)</f>
        <v>1</v>
      </c>
      <c r="J706" s="22">
        <f>Source!Q528</f>
        <v>1563.6</v>
      </c>
      <c r="K706" s="22"/>
    </row>
    <row r="707" spans="1:22" ht="14.25" x14ac:dyDescent="0.2">
      <c r="A707" s="19"/>
      <c r="B707" s="19"/>
      <c r="C707" s="19" t="s">
        <v>507</v>
      </c>
      <c r="D707" s="20"/>
      <c r="E707" s="9"/>
      <c r="F707" s="22">
        <f>Source!AN528</f>
        <v>49.57</v>
      </c>
      <c r="G707" s="21" t="str">
        <f>Source!DF528</f>
        <v>)*2</v>
      </c>
      <c r="H707" s="9">
        <f>Source!AV528</f>
        <v>1</v>
      </c>
      <c r="I707" s="9">
        <f>IF(Source!BS528&lt;&gt; 0, Source!BS528, 1)</f>
        <v>1</v>
      </c>
      <c r="J707" s="27">
        <f>Source!R528</f>
        <v>991.4</v>
      </c>
      <c r="K707" s="22"/>
    </row>
    <row r="708" spans="1:22" ht="14.25" x14ac:dyDescent="0.2">
      <c r="A708" s="19"/>
      <c r="B708" s="19"/>
      <c r="C708" s="19" t="s">
        <v>501</v>
      </c>
      <c r="D708" s="20" t="s">
        <v>502</v>
      </c>
      <c r="E708" s="9">
        <f>Source!AT528</f>
        <v>70</v>
      </c>
      <c r="F708" s="22"/>
      <c r="G708" s="21"/>
      <c r="H708" s="9"/>
      <c r="I708" s="9"/>
      <c r="J708" s="22">
        <f>SUM(R703:R707)</f>
        <v>2912</v>
      </c>
      <c r="K708" s="22"/>
    </row>
    <row r="709" spans="1:22" ht="14.25" x14ac:dyDescent="0.2">
      <c r="A709" s="19"/>
      <c r="B709" s="19"/>
      <c r="C709" s="19" t="s">
        <v>503</v>
      </c>
      <c r="D709" s="20" t="s">
        <v>502</v>
      </c>
      <c r="E709" s="9">
        <f>Source!AU528</f>
        <v>10</v>
      </c>
      <c r="F709" s="22"/>
      <c r="G709" s="21"/>
      <c r="H709" s="9"/>
      <c r="I709" s="9"/>
      <c r="J709" s="22">
        <f>SUM(T703:T708)</f>
        <v>416</v>
      </c>
      <c r="K709" s="22"/>
    </row>
    <row r="710" spans="1:22" ht="14.25" x14ac:dyDescent="0.2">
      <c r="A710" s="19"/>
      <c r="B710" s="19"/>
      <c r="C710" s="19" t="s">
        <v>509</v>
      </c>
      <c r="D710" s="20" t="s">
        <v>502</v>
      </c>
      <c r="E710" s="9">
        <f>108</f>
        <v>108</v>
      </c>
      <c r="F710" s="22"/>
      <c r="G710" s="21"/>
      <c r="H710" s="9"/>
      <c r="I710" s="9"/>
      <c r="J710" s="22">
        <f>SUM(V703:V709)</f>
        <v>1070.71</v>
      </c>
      <c r="K710" s="22"/>
    </row>
    <row r="711" spans="1:22" ht="14.25" x14ac:dyDescent="0.2">
      <c r="A711" s="19"/>
      <c r="B711" s="19"/>
      <c r="C711" s="19" t="s">
        <v>504</v>
      </c>
      <c r="D711" s="20" t="s">
        <v>505</v>
      </c>
      <c r="E711" s="9">
        <f>Source!AQ528</f>
        <v>0.37</v>
      </c>
      <c r="F711" s="22"/>
      <c r="G711" s="21" t="str">
        <f>Source!DI528</f>
        <v>)*2</v>
      </c>
      <c r="H711" s="9">
        <f>Source!AV528</f>
        <v>1</v>
      </c>
      <c r="I711" s="9"/>
      <c r="J711" s="22"/>
      <c r="K711" s="22">
        <f>Source!U528</f>
        <v>7.4</v>
      </c>
    </row>
    <row r="712" spans="1:22" ht="15" x14ac:dyDescent="0.25">
      <c r="A712" s="25"/>
      <c r="B712" s="25"/>
      <c r="C712" s="25"/>
      <c r="D712" s="25"/>
      <c r="E712" s="25"/>
      <c r="F712" s="25"/>
      <c r="G712" s="25"/>
      <c r="H712" s="25"/>
      <c r="I712" s="52">
        <f>J705+J706+J708+J709+J710</f>
        <v>10122.310000000001</v>
      </c>
      <c r="J712" s="52"/>
      <c r="K712" s="26">
        <f>IF(Source!I528&lt;&gt;0, ROUND(I712/Source!I528, 2), 0)</f>
        <v>1012.23</v>
      </c>
      <c r="P712" s="24">
        <f>I712</f>
        <v>10122.310000000001</v>
      </c>
    </row>
    <row r="713" spans="1:22" ht="42.75" x14ac:dyDescent="0.2">
      <c r="A713" s="19">
        <v>70</v>
      </c>
      <c r="B713" s="19" t="str">
        <f>Source!F529</f>
        <v>1.15-2203-7-1/1</v>
      </c>
      <c r="C713" s="19" t="str">
        <f>Source!G529</f>
        <v>Техническое обслуживание крана шарового латунного никелированного диаметром до 25 мм прим. Ду 15</v>
      </c>
      <c r="D713" s="20" t="str">
        <f>Source!H529</f>
        <v>10 шт.</v>
      </c>
      <c r="E713" s="9">
        <f>Source!I529</f>
        <v>7</v>
      </c>
      <c r="F713" s="22"/>
      <c r="G713" s="21"/>
      <c r="H713" s="9"/>
      <c r="I713" s="9"/>
      <c r="J713" s="22"/>
      <c r="K713" s="22"/>
      <c r="Q713">
        <f>ROUND((Source!BZ529/100)*ROUND((Source!AF529*Source!AV529)*Source!I529, 2), 2)</f>
        <v>1361.56</v>
      </c>
      <c r="R713">
        <f>Source!X529</f>
        <v>1361.56</v>
      </c>
      <c r="S713">
        <f>ROUND((Source!CA529/100)*ROUND((Source!AF529*Source!AV529)*Source!I529, 2), 2)</f>
        <v>194.51</v>
      </c>
      <c r="T713">
        <f>Source!Y529</f>
        <v>194.51</v>
      </c>
      <c r="U713">
        <f>ROUND((175/100)*ROUND((Source!AE529*Source!AV529)*Source!I529, 2), 2)</f>
        <v>0</v>
      </c>
      <c r="V713">
        <f>ROUND((108/100)*ROUND(Source!CS529*Source!I529, 2), 2)</f>
        <v>0</v>
      </c>
    </row>
    <row r="714" spans="1:22" x14ac:dyDescent="0.2">
      <c r="C714" s="23" t="str">
        <f>"Объем: "&amp;Source!I529&amp;"=7*"&amp;"10/"&amp;"10"</f>
        <v>Объем: 7=7*10/10</v>
      </c>
    </row>
    <row r="715" spans="1:22" ht="14.25" x14ac:dyDescent="0.2">
      <c r="A715" s="19"/>
      <c r="B715" s="19"/>
      <c r="C715" s="19" t="s">
        <v>500</v>
      </c>
      <c r="D715" s="20"/>
      <c r="E715" s="9"/>
      <c r="F715" s="22">
        <f>Source!AO529</f>
        <v>277.87</v>
      </c>
      <c r="G715" s="21" t="str">
        <f>Source!DG529</f>
        <v/>
      </c>
      <c r="H715" s="9">
        <f>Source!AV529</f>
        <v>1</v>
      </c>
      <c r="I715" s="9">
        <f>IF(Source!BA529&lt;&gt; 0, Source!BA529, 1)</f>
        <v>1</v>
      </c>
      <c r="J715" s="22">
        <f>Source!S529</f>
        <v>1945.09</v>
      </c>
      <c r="K715" s="22"/>
    </row>
    <row r="716" spans="1:22" ht="14.25" x14ac:dyDescent="0.2">
      <c r="A716" s="19"/>
      <c r="B716" s="19"/>
      <c r="C716" s="19" t="s">
        <v>501</v>
      </c>
      <c r="D716" s="20" t="s">
        <v>502</v>
      </c>
      <c r="E716" s="9">
        <f>Source!AT529</f>
        <v>70</v>
      </c>
      <c r="F716" s="22"/>
      <c r="G716" s="21"/>
      <c r="H716" s="9"/>
      <c r="I716" s="9"/>
      <c r="J716" s="22">
        <f>SUM(R713:R715)</f>
        <v>1361.56</v>
      </c>
      <c r="K716" s="22"/>
    </row>
    <row r="717" spans="1:22" ht="14.25" x14ac:dyDescent="0.2">
      <c r="A717" s="19"/>
      <c r="B717" s="19"/>
      <c r="C717" s="19" t="s">
        <v>503</v>
      </c>
      <c r="D717" s="20" t="s">
        <v>502</v>
      </c>
      <c r="E717" s="9">
        <f>Source!AU529</f>
        <v>10</v>
      </c>
      <c r="F717" s="22"/>
      <c r="G717" s="21"/>
      <c r="H717" s="9"/>
      <c r="I717" s="9"/>
      <c r="J717" s="22">
        <f>SUM(T713:T716)</f>
        <v>194.51</v>
      </c>
      <c r="K717" s="22"/>
    </row>
    <row r="718" spans="1:22" ht="14.25" x14ac:dyDescent="0.2">
      <c r="A718" s="19"/>
      <c r="B718" s="19"/>
      <c r="C718" s="19" t="s">
        <v>504</v>
      </c>
      <c r="D718" s="20" t="s">
        <v>505</v>
      </c>
      <c r="E718" s="9">
        <f>Source!AQ529</f>
        <v>0.45</v>
      </c>
      <c r="F718" s="22"/>
      <c r="G718" s="21" t="str">
        <f>Source!DI529</f>
        <v/>
      </c>
      <c r="H718" s="9">
        <f>Source!AV529</f>
        <v>1</v>
      </c>
      <c r="I718" s="9"/>
      <c r="J718" s="22"/>
      <c r="K718" s="22">
        <f>Source!U529</f>
        <v>3.15</v>
      </c>
    </row>
    <row r="719" spans="1:22" ht="15" x14ac:dyDescent="0.25">
      <c r="A719" s="25"/>
      <c r="B719" s="25"/>
      <c r="C719" s="25"/>
      <c r="D719" s="25"/>
      <c r="E719" s="25"/>
      <c r="F719" s="25"/>
      <c r="G719" s="25"/>
      <c r="H719" s="25"/>
      <c r="I719" s="52">
        <f>J715+J716+J717</f>
        <v>3501.16</v>
      </c>
      <c r="J719" s="52"/>
      <c r="K719" s="26">
        <f>IF(Source!I529&lt;&gt;0, ROUND(I719/Source!I529, 2), 0)</f>
        <v>500.17</v>
      </c>
      <c r="P719" s="24">
        <f>I719</f>
        <v>3501.16</v>
      </c>
    </row>
    <row r="720" spans="1:22" ht="42.75" x14ac:dyDescent="0.2">
      <c r="A720" s="19">
        <v>71</v>
      </c>
      <c r="B720" s="19" t="str">
        <f>Source!F530</f>
        <v>1.21-2303-24-1/1</v>
      </c>
      <c r="C720" s="19" t="str">
        <f>Source!G530</f>
        <v>Техническое обслуживание электроводонагревателей объемом до 80 литров</v>
      </c>
      <c r="D720" s="20" t="str">
        <f>Source!H530</f>
        <v>шт.</v>
      </c>
      <c r="E720" s="9">
        <f>Source!I530</f>
        <v>10</v>
      </c>
      <c r="F720" s="22"/>
      <c r="G720" s="21"/>
      <c r="H720" s="9"/>
      <c r="I720" s="9"/>
      <c r="J720" s="22"/>
      <c r="K720" s="22"/>
      <c r="Q720">
        <f>ROUND((Source!BZ530/100)*ROUND((Source!AF530*Source!AV530)*Source!I530, 2), 2)</f>
        <v>8708.2099999999991</v>
      </c>
      <c r="R720">
        <f>Source!X530</f>
        <v>8708.2099999999991</v>
      </c>
      <c r="S720">
        <f>ROUND((Source!CA530/100)*ROUND((Source!AF530*Source!AV530)*Source!I530, 2), 2)</f>
        <v>1244.03</v>
      </c>
      <c r="T720">
        <f>Source!Y530</f>
        <v>1244.03</v>
      </c>
      <c r="U720">
        <f>ROUND((175/100)*ROUND((Source!AE530*Source!AV530)*Source!I530, 2), 2)</f>
        <v>15658.48</v>
      </c>
      <c r="V720">
        <f>ROUND((108/100)*ROUND(Source!CS530*Source!I530, 2), 2)</f>
        <v>9663.52</v>
      </c>
    </row>
    <row r="721" spans="1:22" x14ac:dyDescent="0.2">
      <c r="C721" s="23" t="str">
        <f>"Объем: "&amp;Source!I530&amp;"=1*"&amp;"10"</f>
        <v>Объем: 10=1*10</v>
      </c>
    </row>
    <row r="722" spans="1:22" ht="14.25" x14ac:dyDescent="0.2">
      <c r="A722" s="19"/>
      <c r="B722" s="19"/>
      <c r="C722" s="19" t="s">
        <v>500</v>
      </c>
      <c r="D722" s="20"/>
      <c r="E722" s="9"/>
      <c r="F722" s="22">
        <f>Source!AO530</f>
        <v>1244.03</v>
      </c>
      <c r="G722" s="21" t="str">
        <f>Source!DG530</f>
        <v/>
      </c>
      <c r="H722" s="9">
        <f>Source!AV530</f>
        <v>1</v>
      </c>
      <c r="I722" s="9">
        <f>IF(Source!BA530&lt;&gt; 0, Source!BA530, 1)</f>
        <v>1</v>
      </c>
      <c r="J722" s="22">
        <f>Source!S530</f>
        <v>12440.3</v>
      </c>
      <c r="K722" s="22"/>
    </row>
    <row r="723" spans="1:22" ht="14.25" x14ac:dyDescent="0.2">
      <c r="A723" s="19"/>
      <c r="B723" s="19"/>
      <c r="C723" s="19" t="s">
        <v>506</v>
      </c>
      <c r="D723" s="20"/>
      <c r="E723" s="9"/>
      <c r="F723" s="22">
        <f>Source!AM530</f>
        <v>1411.16</v>
      </c>
      <c r="G723" s="21" t="str">
        <f>Source!DE530</f>
        <v/>
      </c>
      <c r="H723" s="9">
        <f>Source!AV530</f>
        <v>1</v>
      </c>
      <c r="I723" s="9">
        <f>IF(Source!BB530&lt;&gt; 0, Source!BB530, 1)</f>
        <v>1</v>
      </c>
      <c r="J723" s="22">
        <f>Source!Q530</f>
        <v>14111.6</v>
      </c>
      <c r="K723" s="22"/>
    </row>
    <row r="724" spans="1:22" ht="14.25" x14ac:dyDescent="0.2">
      <c r="A724" s="19"/>
      <c r="B724" s="19"/>
      <c r="C724" s="19" t="s">
        <v>507</v>
      </c>
      <c r="D724" s="20"/>
      <c r="E724" s="9"/>
      <c r="F724" s="22">
        <f>Source!AN530</f>
        <v>894.77</v>
      </c>
      <c r="G724" s="21" t="str">
        <f>Source!DF530</f>
        <v/>
      </c>
      <c r="H724" s="9">
        <f>Source!AV530</f>
        <v>1</v>
      </c>
      <c r="I724" s="9">
        <f>IF(Source!BS530&lt;&gt; 0, Source!BS530, 1)</f>
        <v>1</v>
      </c>
      <c r="J724" s="27">
        <f>Source!R530</f>
        <v>8947.7000000000007</v>
      </c>
      <c r="K724" s="22"/>
    </row>
    <row r="725" spans="1:22" ht="14.25" x14ac:dyDescent="0.2">
      <c r="A725" s="19"/>
      <c r="B725" s="19"/>
      <c r="C725" s="19" t="s">
        <v>508</v>
      </c>
      <c r="D725" s="20"/>
      <c r="E725" s="9"/>
      <c r="F725" s="22">
        <f>Source!AL530</f>
        <v>0.63</v>
      </c>
      <c r="G725" s="21" t="str">
        <f>Source!DD530</f>
        <v/>
      </c>
      <c r="H725" s="9">
        <f>Source!AW530</f>
        <v>1</v>
      </c>
      <c r="I725" s="9">
        <f>IF(Source!BC530&lt;&gt; 0, Source!BC530, 1)</f>
        <v>1</v>
      </c>
      <c r="J725" s="22">
        <f>Source!P530</f>
        <v>6.3</v>
      </c>
      <c r="K725" s="22"/>
    </row>
    <row r="726" spans="1:22" ht="14.25" x14ac:dyDescent="0.2">
      <c r="A726" s="19"/>
      <c r="B726" s="19"/>
      <c r="C726" s="19" t="s">
        <v>501</v>
      </c>
      <c r="D726" s="20" t="s">
        <v>502</v>
      </c>
      <c r="E726" s="9">
        <f>Source!AT530</f>
        <v>70</v>
      </c>
      <c r="F726" s="22"/>
      <c r="G726" s="21"/>
      <c r="H726" s="9"/>
      <c r="I726" s="9"/>
      <c r="J726" s="22">
        <f>SUM(R720:R725)</f>
        <v>8708.2099999999991</v>
      </c>
      <c r="K726" s="22"/>
    </row>
    <row r="727" spans="1:22" ht="14.25" x14ac:dyDescent="0.2">
      <c r="A727" s="19"/>
      <c r="B727" s="19"/>
      <c r="C727" s="19" t="s">
        <v>503</v>
      </c>
      <c r="D727" s="20" t="s">
        <v>502</v>
      </c>
      <c r="E727" s="9">
        <f>Source!AU530</f>
        <v>10</v>
      </c>
      <c r="F727" s="22"/>
      <c r="G727" s="21"/>
      <c r="H727" s="9"/>
      <c r="I727" s="9"/>
      <c r="J727" s="22">
        <f>SUM(T720:T726)</f>
        <v>1244.03</v>
      </c>
      <c r="K727" s="22"/>
    </row>
    <row r="728" spans="1:22" ht="14.25" x14ac:dyDescent="0.2">
      <c r="A728" s="19"/>
      <c r="B728" s="19"/>
      <c r="C728" s="19" t="s">
        <v>509</v>
      </c>
      <c r="D728" s="20" t="s">
        <v>502</v>
      </c>
      <c r="E728" s="9">
        <f>108</f>
        <v>108</v>
      </c>
      <c r="F728" s="22"/>
      <c r="G728" s="21"/>
      <c r="H728" s="9"/>
      <c r="I728" s="9"/>
      <c r="J728" s="22">
        <f>SUM(V720:V727)</f>
        <v>9663.52</v>
      </c>
      <c r="K728" s="22"/>
    </row>
    <row r="729" spans="1:22" ht="14.25" x14ac:dyDescent="0.2">
      <c r="A729" s="19"/>
      <c r="B729" s="19"/>
      <c r="C729" s="19" t="s">
        <v>504</v>
      </c>
      <c r="D729" s="20" t="s">
        <v>505</v>
      </c>
      <c r="E729" s="9">
        <f>Source!AQ530</f>
        <v>1.75</v>
      </c>
      <c r="F729" s="22"/>
      <c r="G729" s="21" t="str">
        <f>Source!DI530</f>
        <v/>
      </c>
      <c r="H729" s="9">
        <f>Source!AV530</f>
        <v>1</v>
      </c>
      <c r="I729" s="9"/>
      <c r="J729" s="22"/>
      <c r="K729" s="22">
        <f>Source!U530</f>
        <v>17.5</v>
      </c>
    </row>
    <row r="730" spans="1:22" ht="15" x14ac:dyDescent="0.25">
      <c r="A730" s="25"/>
      <c r="B730" s="25"/>
      <c r="C730" s="25"/>
      <c r="D730" s="25"/>
      <c r="E730" s="25"/>
      <c r="F730" s="25"/>
      <c r="G730" s="25"/>
      <c r="H730" s="25"/>
      <c r="I730" s="52">
        <f>J722+J723+J725+J726+J727+J728</f>
        <v>46173.960000000006</v>
      </c>
      <c r="J730" s="52"/>
      <c r="K730" s="26">
        <f>IF(Source!I530&lt;&gt;0, ROUND(I730/Source!I530, 2), 0)</f>
        <v>4617.3999999999996</v>
      </c>
      <c r="P730" s="24">
        <f>I730</f>
        <v>46173.960000000006</v>
      </c>
    </row>
    <row r="732" spans="1:22" ht="15" customHeight="1" x14ac:dyDescent="0.25">
      <c r="A732" s="54" t="str">
        <f>CONCATENATE("Итого по подразделу: ",IF(Source!G534&lt;&gt;"Новый подраздел", Source!G534, ""))</f>
        <v>Итого по подразделу: Система внутреннего водоснабжения и водоотведения</v>
      </c>
      <c r="B732" s="54"/>
      <c r="C732" s="54"/>
      <c r="D732" s="54"/>
      <c r="E732" s="54"/>
      <c r="F732" s="54"/>
      <c r="G732" s="54"/>
      <c r="H732" s="54"/>
      <c r="I732" s="53">
        <f>SUM(P620:P731)</f>
        <v>126579.98000000001</v>
      </c>
      <c r="J732" s="53"/>
      <c r="K732" s="28"/>
    </row>
    <row r="735" spans="1:22" ht="16.5" customHeight="1" x14ac:dyDescent="0.25">
      <c r="A735" s="51" t="str">
        <f>CONCATENATE("Подраздел: ",IF(Source!G564&lt;&gt;"Новый подраздел", Source!G564, ""))</f>
        <v>Подраздел: Отопление</v>
      </c>
      <c r="B735" s="51"/>
      <c r="C735" s="51"/>
      <c r="D735" s="51"/>
      <c r="E735" s="51"/>
      <c r="F735" s="51"/>
      <c r="G735" s="51"/>
      <c r="H735" s="51"/>
      <c r="I735" s="51"/>
      <c r="J735" s="51"/>
      <c r="K735" s="51"/>
    </row>
    <row r="736" spans="1:22" ht="57" x14ac:dyDescent="0.2">
      <c r="A736" s="19">
        <v>72</v>
      </c>
      <c r="B736" s="19" t="str">
        <f>Source!F569</f>
        <v>1.21-2303-50-1/1</v>
      </c>
      <c r="C736" s="19" t="str">
        <f>Source!G569</f>
        <v>Техническое обслуживание  конвектора электрического настенного крепления, с механическим термостатом, мощность до 2,0 кВт</v>
      </c>
      <c r="D736" s="20" t="str">
        <f>Source!H569</f>
        <v>шт.</v>
      </c>
      <c r="E736" s="9">
        <f>Source!I569</f>
        <v>30</v>
      </c>
      <c r="F736" s="22"/>
      <c r="G736" s="21"/>
      <c r="H736" s="9"/>
      <c r="I736" s="9"/>
      <c r="J736" s="22"/>
      <c r="K736" s="22"/>
      <c r="Q736">
        <f>ROUND((Source!BZ569/100)*ROUND((Source!AF569*Source!AV569)*Source!I569, 2), 2)</f>
        <v>1815.45</v>
      </c>
      <c r="R736">
        <f>Source!X569</f>
        <v>1815.45</v>
      </c>
      <c r="S736">
        <f>ROUND((Source!CA569/100)*ROUND((Source!AF569*Source!AV569)*Source!I569, 2), 2)</f>
        <v>259.35000000000002</v>
      </c>
      <c r="T736">
        <f>Source!Y569</f>
        <v>259.35000000000002</v>
      </c>
      <c r="U736">
        <f>ROUND((175/100)*ROUND((Source!AE569*Source!AV569)*Source!I569, 2), 2)</f>
        <v>0</v>
      </c>
      <c r="V736">
        <f>ROUND((108/100)*ROUND(Source!CS569*Source!I569, 2), 2)</f>
        <v>0</v>
      </c>
    </row>
    <row r="737" spans="1:22" x14ac:dyDescent="0.2">
      <c r="C737" s="23" t="str">
        <f>"Объем: "&amp;Source!I569&amp;"=3*"&amp;"10"</f>
        <v>Объем: 30=3*10</v>
      </c>
    </row>
    <row r="738" spans="1:22" ht="14.25" x14ac:dyDescent="0.2">
      <c r="A738" s="19"/>
      <c r="B738" s="19"/>
      <c r="C738" s="19" t="s">
        <v>500</v>
      </c>
      <c r="D738" s="20"/>
      <c r="E738" s="9"/>
      <c r="F738" s="22">
        <f>Source!AO569</f>
        <v>86.45</v>
      </c>
      <c r="G738" s="21" t="str">
        <f>Source!DG569</f>
        <v/>
      </c>
      <c r="H738" s="9">
        <f>Source!AV569</f>
        <v>1</v>
      </c>
      <c r="I738" s="9">
        <f>IF(Source!BA569&lt;&gt; 0, Source!BA569, 1)</f>
        <v>1</v>
      </c>
      <c r="J738" s="22">
        <f>Source!S569</f>
        <v>2593.5</v>
      </c>
      <c r="K738" s="22"/>
    </row>
    <row r="739" spans="1:22" ht="14.25" x14ac:dyDescent="0.2">
      <c r="A739" s="19"/>
      <c r="B739" s="19"/>
      <c r="C739" s="19" t="s">
        <v>506</v>
      </c>
      <c r="D739" s="20"/>
      <c r="E739" s="9"/>
      <c r="F739" s="22">
        <f>Source!AM569</f>
        <v>0.23</v>
      </c>
      <c r="G739" s="21" t="str">
        <f>Source!DE569</f>
        <v/>
      </c>
      <c r="H739" s="9">
        <f>Source!AV569</f>
        <v>1</v>
      </c>
      <c r="I739" s="9">
        <f>IF(Source!BB569&lt;&gt; 0, Source!BB569, 1)</f>
        <v>1</v>
      </c>
      <c r="J739" s="22">
        <f>Source!Q569</f>
        <v>6.9</v>
      </c>
      <c r="K739" s="22"/>
    </row>
    <row r="740" spans="1:22" ht="14.25" x14ac:dyDescent="0.2">
      <c r="A740" s="19"/>
      <c r="B740" s="19"/>
      <c r="C740" s="19" t="s">
        <v>508</v>
      </c>
      <c r="D740" s="20"/>
      <c r="E740" s="9"/>
      <c r="F740" s="22">
        <f>Source!AL569</f>
        <v>2.2000000000000002</v>
      </c>
      <c r="G740" s="21" t="str">
        <f>Source!DD569</f>
        <v/>
      </c>
      <c r="H740" s="9">
        <f>Source!AW569</f>
        <v>1</v>
      </c>
      <c r="I740" s="9">
        <f>IF(Source!BC569&lt;&gt; 0, Source!BC569, 1)</f>
        <v>1</v>
      </c>
      <c r="J740" s="22">
        <f>Source!P569</f>
        <v>66</v>
      </c>
      <c r="K740" s="22"/>
    </row>
    <row r="741" spans="1:22" ht="14.25" x14ac:dyDescent="0.2">
      <c r="A741" s="19"/>
      <c r="B741" s="19"/>
      <c r="C741" s="19" t="s">
        <v>501</v>
      </c>
      <c r="D741" s="20" t="s">
        <v>502</v>
      </c>
      <c r="E741" s="9">
        <f>Source!AT569</f>
        <v>70</v>
      </c>
      <c r="F741" s="22"/>
      <c r="G741" s="21"/>
      <c r="H741" s="9"/>
      <c r="I741" s="9"/>
      <c r="J741" s="22">
        <f>SUM(R736:R740)</f>
        <v>1815.45</v>
      </c>
      <c r="K741" s="22"/>
    </row>
    <row r="742" spans="1:22" ht="14.25" x14ac:dyDescent="0.2">
      <c r="A742" s="19"/>
      <c r="B742" s="19"/>
      <c r="C742" s="19" t="s">
        <v>503</v>
      </c>
      <c r="D742" s="20" t="s">
        <v>502</v>
      </c>
      <c r="E742" s="9">
        <f>Source!AU569</f>
        <v>10</v>
      </c>
      <c r="F742" s="22"/>
      <c r="G742" s="21"/>
      <c r="H742" s="9"/>
      <c r="I742" s="9"/>
      <c r="J742" s="22">
        <f>SUM(T736:T741)</f>
        <v>259.35000000000002</v>
      </c>
      <c r="K742" s="22"/>
    </row>
    <row r="743" spans="1:22" ht="14.25" x14ac:dyDescent="0.2">
      <c r="A743" s="19"/>
      <c r="B743" s="19"/>
      <c r="C743" s="19" t="s">
        <v>504</v>
      </c>
      <c r="D743" s="20" t="s">
        <v>505</v>
      </c>
      <c r="E743" s="9">
        <f>Source!AQ569</f>
        <v>0.14000000000000001</v>
      </c>
      <c r="F743" s="22"/>
      <c r="G743" s="21" t="str">
        <f>Source!DI569</f>
        <v/>
      </c>
      <c r="H743" s="9">
        <f>Source!AV569</f>
        <v>1</v>
      </c>
      <c r="I743" s="9"/>
      <c r="J743" s="22"/>
      <c r="K743" s="22">
        <f>Source!U569</f>
        <v>4.2</v>
      </c>
    </row>
    <row r="744" spans="1:22" ht="15" x14ac:dyDescent="0.25">
      <c r="A744" s="25"/>
      <c r="B744" s="25"/>
      <c r="C744" s="25"/>
      <c r="D744" s="25"/>
      <c r="E744" s="25"/>
      <c r="F744" s="25"/>
      <c r="G744" s="25"/>
      <c r="H744" s="25"/>
      <c r="I744" s="52">
        <f>J738+J739+J740+J741+J742</f>
        <v>4741.2000000000007</v>
      </c>
      <c r="J744" s="52"/>
      <c r="K744" s="26">
        <f>IF(Source!I569&lt;&gt;0, ROUND(I744/Source!I569, 2), 0)</f>
        <v>158.04</v>
      </c>
      <c r="P744" s="24">
        <f>I744</f>
        <v>4741.2000000000007</v>
      </c>
    </row>
    <row r="746" spans="1:22" ht="15" customHeight="1" x14ac:dyDescent="0.25">
      <c r="A746" s="54" t="str">
        <f>CONCATENATE("Итого по подразделу: ",IF(Source!G572&lt;&gt;"Новый подраздел", Source!G572, ""))</f>
        <v>Итого по подразделу: Отопление</v>
      </c>
      <c r="B746" s="54"/>
      <c r="C746" s="54"/>
      <c r="D746" s="54"/>
      <c r="E746" s="54"/>
      <c r="F746" s="54"/>
      <c r="G746" s="54"/>
      <c r="H746" s="54"/>
      <c r="I746" s="53">
        <f>SUM(P735:P745)</f>
        <v>4741.2000000000007</v>
      </c>
      <c r="J746" s="53"/>
      <c r="K746" s="28"/>
    </row>
    <row r="749" spans="1:22" ht="16.5" customHeight="1" x14ac:dyDescent="0.25">
      <c r="A749" s="51" t="str">
        <f>CONCATENATE("Подраздел: ",IF(Source!G602&lt;&gt;"Новый подраздел", Source!G602, ""))</f>
        <v>Подраздел: Вентиляция и кондиционирование</v>
      </c>
      <c r="B749" s="51"/>
      <c r="C749" s="51"/>
      <c r="D749" s="51"/>
      <c r="E749" s="51"/>
      <c r="F749" s="51"/>
      <c r="G749" s="51"/>
      <c r="H749" s="51"/>
      <c r="I749" s="51"/>
      <c r="J749" s="51"/>
      <c r="K749" s="51"/>
    </row>
    <row r="750" spans="1:22" ht="28.5" x14ac:dyDescent="0.2">
      <c r="A750" s="19">
        <v>73</v>
      </c>
      <c r="B750" s="19" t="str">
        <f>Source!F607</f>
        <v>1.18-2303-3-2/1</v>
      </c>
      <c r="C750" s="19" t="str">
        <f>Source!G607</f>
        <v>Техническое обслуживание канального вентилятора - ежеквартальное</v>
      </c>
      <c r="D750" s="20" t="str">
        <f>Source!H607</f>
        <v>шт.</v>
      </c>
      <c r="E750" s="9">
        <f>Source!I607</f>
        <v>10</v>
      </c>
      <c r="F750" s="22"/>
      <c r="G750" s="21"/>
      <c r="H750" s="9"/>
      <c r="I750" s="9"/>
      <c r="J750" s="22"/>
      <c r="K750" s="22"/>
      <c r="Q750">
        <f>ROUND((Source!BZ607/100)*ROUND((Source!AF607*Source!AV607)*Source!I607, 2), 2)</f>
        <v>14987.42</v>
      </c>
      <c r="R750">
        <f>Source!X607</f>
        <v>14987.42</v>
      </c>
      <c r="S750">
        <f>ROUND((Source!CA607/100)*ROUND((Source!AF607*Source!AV607)*Source!I607, 2), 2)</f>
        <v>2141.06</v>
      </c>
      <c r="T750">
        <f>Source!Y607</f>
        <v>2141.06</v>
      </c>
      <c r="U750">
        <f>ROUND((175/100)*ROUND((Source!AE607*Source!AV607)*Source!I607, 2), 2)</f>
        <v>0</v>
      </c>
      <c r="V750">
        <f>ROUND((108/100)*ROUND(Source!CS607*Source!I607, 2), 2)</f>
        <v>0</v>
      </c>
    </row>
    <row r="751" spans="1:22" x14ac:dyDescent="0.2">
      <c r="C751" s="23" t="str">
        <f>"Объем: "&amp;Source!I607&amp;"=1*"&amp;"10"</f>
        <v>Объем: 10=1*10</v>
      </c>
    </row>
    <row r="752" spans="1:22" ht="14.25" x14ac:dyDescent="0.2">
      <c r="A752" s="19"/>
      <c r="B752" s="19"/>
      <c r="C752" s="19" t="s">
        <v>500</v>
      </c>
      <c r="D752" s="20"/>
      <c r="E752" s="9"/>
      <c r="F752" s="22">
        <f>Source!AO607</f>
        <v>1070.53</v>
      </c>
      <c r="G752" s="21" t="str">
        <f>Source!DG607</f>
        <v>)*2</v>
      </c>
      <c r="H752" s="9">
        <f>Source!AV607</f>
        <v>1</v>
      </c>
      <c r="I752" s="9">
        <f>IF(Source!BA607&lt;&gt; 0, Source!BA607, 1)</f>
        <v>1</v>
      </c>
      <c r="J752" s="22">
        <f>Source!S607</f>
        <v>21410.6</v>
      </c>
      <c r="K752" s="22"/>
    </row>
    <row r="753" spans="1:22" ht="14.25" x14ac:dyDescent="0.2">
      <c r="A753" s="19"/>
      <c r="B753" s="19"/>
      <c r="C753" s="19" t="s">
        <v>501</v>
      </c>
      <c r="D753" s="20" t="s">
        <v>502</v>
      </c>
      <c r="E753" s="9">
        <f>Source!AT607</f>
        <v>70</v>
      </c>
      <c r="F753" s="22"/>
      <c r="G753" s="21"/>
      <c r="H753" s="9"/>
      <c r="I753" s="9"/>
      <c r="J753" s="22">
        <f>SUM(R750:R752)</f>
        <v>14987.42</v>
      </c>
      <c r="K753" s="22"/>
    </row>
    <row r="754" spans="1:22" ht="14.25" x14ac:dyDescent="0.2">
      <c r="A754" s="19"/>
      <c r="B754" s="19"/>
      <c r="C754" s="19" t="s">
        <v>503</v>
      </c>
      <c r="D754" s="20" t="s">
        <v>502</v>
      </c>
      <c r="E754" s="9">
        <f>Source!AU607</f>
        <v>10</v>
      </c>
      <c r="F754" s="22"/>
      <c r="G754" s="21"/>
      <c r="H754" s="9"/>
      <c r="I754" s="9"/>
      <c r="J754" s="22">
        <f>SUM(T750:T753)</f>
        <v>2141.06</v>
      </c>
      <c r="K754" s="22"/>
    </row>
    <row r="755" spans="1:22" ht="14.25" x14ac:dyDescent="0.2">
      <c r="A755" s="19"/>
      <c r="B755" s="19"/>
      <c r="C755" s="19" t="s">
        <v>504</v>
      </c>
      <c r="D755" s="20" t="s">
        <v>505</v>
      </c>
      <c r="E755" s="9">
        <f>Source!AQ607</f>
        <v>1.76</v>
      </c>
      <c r="F755" s="22"/>
      <c r="G755" s="21" t="str">
        <f>Source!DI607</f>
        <v>)*2</v>
      </c>
      <c r="H755" s="9">
        <f>Source!AV607</f>
        <v>1</v>
      </c>
      <c r="I755" s="9"/>
      <c r="J755" s="22"/>
      <c r="K755" s="22">
        <f>Source!U607</f>
        <v>35.200000000000003</v>
      </c>
    </row>
    <row r="756" spans="1:22" ht="15" x14ac:dyDescent="0.25">
      <c r="A756" s="25"/>
      <c r="B756" s="25"/>
      <c r="C756" s="25"/>
      <c r="D756" s="25"/>
      <c r="E756" s="25"/>
      <c r="F756" s="25"/>
      <c r="G756" s="25"/>
      <c r="H756" s="25"/>
      <c r="I756" s="52">
        <f>J752+J753+J754</f>
        <v>38539.079999999994</v>
      </c>
      <c r="J756" s="52"/>
      <c r="K756" s="26">
        <f>IF(Source!I607&lt;&gt;0, ROUND(I756/Source!I607, 2), 0)</f>
        <v>3853.91</v>
      </c>
      <c r="P756" s="24">
        <f>I756</f>
        <v>38539.079999999994</v>
      </c>
    </row>
    <row r="757" spans="1:22" ht="42.75" x14ac:dyDescent="0.2">
      <c r="A757" s="19">
        <v>74</v>
      </c>
      <c r="B757" s="19" t="str">
        <f>Source!F609</f>
        <v>1.18-2403-19-5/1</v>
      </c>
      <c r="C757" s="19" t="str">
        <f>Source!G609</f>
        <v>Техническое обслуживание внутренних настенных блоков сплит систем мощностью до 7 кВт - полугодовое</v>
      </c>
      <c r="D757" s="20" t="str">
        <f>Source!H609</f>
        <v>1 блок</v>
      </c>
      <c r="E757" s="9">
        <f>Source!I609</f>
        <v>10</v>
      </c>
      <c r="F757" s="22"/>
      <c r="G757" s="21"/>
      <c r="H757" s="9"/>
      <c r="I757" s="9"/>
      <c r="J757" s="22"/>
      <c r="K757" s="22"/>
      <c r="Q757">
        <f>ROUND((Source!BZ609/100)*ROUND((Source!AF609*Source!AV609)*Source!I609, 2), 2)</f>
        <v>6595.96</v>
      </c>
      <c r="R757">
        <f>Source!X609</f>
        <v>6595.96</v>
      </c>
      <c r="S757">
        <f>ROUND((Source!CA609/100)*ROUND((Source!AF609*Source!AV609)*Source!I609, 2), 2)</f>
        <v>942.28</v>
      </c>
      <c r="T757">
        <f>Source!Y609</f>
        <v>942.28</v>
      </c>
      <c r="U757">
        <f>ROUND((175/100)*ROUND((Source!AE609*Source!AV609)*Source!I609, 2), 2)</f>
        <v>0.35</v>
      </c>
      <c r="V757">
        <f>ROUND((108/100)*ROUND(Source!CS609*Source!I609, 2), 2)</f>
        <v>0.22</v>
      </c>
    </row>
    <row r="758" spans="1:22" x14ac:dyDescent="0.2">
      <c r="C758" s="23" t="str">
        <f>"Объем: "&amp;Source!I609&amp;"=1*"&amp;"10"</f>
        <v>Объем: 10=1*10</v>
      </c>
    </row>
    <row r="759" spans="1:22" ht="14.25" x14ac:dyDescent="0.2">
      <c r="A759" s="19"/>
      <c r="B759" s="19"/>
      <c r="C759" s="19" t="s">
        <v>500</v>
      </c>
      <c r="D759" s="20"/>
      <c r="E759" s="9"/>
      <c r="F759" s="22">
        <f>Source!AO609</f>
        <v>942.28</v>
      </c>
      <c r="G759" s="21" t="str">
        <f>Source!DG609</f>
        <v/>
      </c>
      <c r="H759" s="9">
        <f>Source!AV609</f>
        <v>1</v>
      </c>
      <c r="I759" s="9">
        <f>IF(Source!BA609&lt;&gt; 0, Source!BA609, 1)</f>
        <v>1</v>
      </c>
      <c r="J759" s="22">
        <f>Source!S609</f>
        <v>9422.7999999999993</v>
      </c>
      <c r="K759" s="22"/>
    </row>
    <row r="760" spans="1:22" ht="14.25" x14ac:dyDescent="0.2">
      <c r="A760" s="19"/>
      <c r="B760" s="19"/>
      <c r="C760" s="19" t="s">
        <v>506</v>
      </c>
      <c r="D760" s="20"/>
      <c r="E760" s="9"/>
      <c r="F760" s="22">
        <f>Source!AM609</f>
        <v>1.79</v>
      </c>
      <c r="G760" s="21" t="str">
        <f>Source!DE609</f>
        <v/>
      </c>
      <c r="H760" s="9">
        <f>Source!AV609</f>
        <v>1</v>
      </c>
      <c r="I760" s="9">
        <f>IF(Source!BB609&lt;&gt; 0, Source!BB609, 1)</f>
        <v>1</v>
      </c>
      <c r="J760" s="22">
        <f>Source!Q609</f>
        <v>17.899999999999999</v>
      </c>
      <c r="K760" s="22"/>
    </row>
    <row r="761" spans="1:22" ht="14.25" x14ac:dyDescent="0.2">
      <c r="A761" s="19"/>
      <c r="B761" s="19"/>
      <c r="C761" s="19" t="s">
        <v>507</v>
      </c>
      <c r="D761" s="20"/>
      <c r="E761" s="9"/>
      <c r="F761" s="22">
        <f>Source!AN609</f>
        <v>0.02</v>
      </c>
      <c r="G761" s="21" t="str">
        <f>Source!DF609</f>
        <v/>
      </c>
      <c r="H761" s="9">
        <f>Source!AV609</f>
        <v>1</v>
      </c>
      <c r="I761" s="9">
        <f>IF(Source!BS609&lt;&gt; 0, Source!BS609, 1)</f>
        <v>1</v>
      </c>
      <c r="J761" s="27">
        <f>Source!R609</f>
        <v>0.2</v>
      </c>
      <c r="K761" s="22"/>
    </row>
    <row r="762" spans="1:22" ht="14.25" x14ac:dyDescent="0.2">
      <c r="A762" s="19"/>
      <c r="B762" s="19"/>
      <c r="C762" s="19" t="s">
        <v>508</v>
      </c>
      <c r="D762" s="20"/>
      <c r="E762" s="9"/>
      <c r="F762" s="22">
        <f>Source!AL609</f>
        <v>0.74</v>
      </c>
      <c r="G762" s="21" t="str">
        <f>Source!DD609</f>
        <v/>
      </c>
      <c r="H762" s="9">
        <f>Source!AW609</f>
        <v>1</v>
      </c>
      <c r="I762" s="9">
        <f>IF(Source!BC609&lt;&gt; 0, Source!BC609, 1)</f>
        <v>1</v>
      </c>
      <c r="J762" s="22">
        <f>Source!P609</f>
        <v>7.4</v>
      </c>
      <c r="K762" s="22"/>
    </row>
    <row r="763" spans="1:22" ht="14.25" x14ac:dyDescent="0.2">
      <c r="A763" s="19"/>
      <c r="B763" s="19"/>
      <c r="C763" s="19" t="s">
        <v>501</v>
      </c>
      <c r="D763" s="20" t="s">
        <v>502</v>
      </c>
      <c r="E763" s="9">
        <f>Source!AT609</f>
        <v>70</v>
      </c>
      <c r="F763" s="22"/>
      <c r="G763" s="21"/>
      <c r="H763" s="9"/>
      <c r="I763" s="9"/>
      <c r="J763" s="22">
        <f>SUM(R757:R762)</f>
        <v>6595.96</v>
      </c>
      <c r="K763" s="22"/>
    </row>
    <row r="764" spans="1:22" ht="14.25" x14ac:dyDescent="0.2">
      <c r="A764" s="19"/>
      <c r="B764" s="19"/>
      <c r="C764" s="19" t="s">
        <v>503</v>
      </c>
      <c r="D764" s="20" t="s">
        <v>502</v>
      </c>
      <c r="E764" s="9">
        <f>Source!AU609</f>
        <v>10</v>
      </c>
      <c r="F764" s="22"/>
      <c r="G764" s="21"/>
      <c r="H764" s="9"/>
      <c r="I764" s="9"/>
      <c r="J764" s="22">
        <f>SUM(T757:T763)</f>
        <v>942.28</v>
      </c>
      <c r="K764" s="22"/>
    </row>
    <row r="765" spans="1:22" ht="14.25" x14ac:dyDescent="0.2">
      <c r="A765" s="19"/>
      <c r="B765" s="19"/>
      <c r="C765" s="19" t="s">
        <v>509</v>
      </c>
      <c r="D765" s="20" t="s">
        <v>502</v>
      </c>
      <c r="E765" s="9">
        <f>108</f>
        <v>108</v>
      </c>
      <c r="F765" s="22"/>
      <c r="G765" s="21"/>
      <c r="H765" s="9"/>
      <c r="I765" s="9"/>
      <c r="J765" s="22">
        <f>SUM(V757:V764)</f>
        <v>0.22</v>
      </c>
      <c r="K765" s="22"/>
    </row>
    <row r="766" spans="1:22" ht="14.25" x14ac:dyDescent="0.2">
      <c r="A766" s="19"/>
      <c r="B766" s="19"/>
      <c r="C766" s="19" t="s">
        <v>504</v>
      </c>
      <c r="D766" s="20" t="s">
        <v>505</v>
      </c>
      <c r="E766" s="9">
        <f>Source!AQ609</f>
        <v>1.42</v>
      </c>
      <c r="F766" s="22"/>
      <c r="G766" s="21" t="str">
        <f>Source!DI609</f>
        <v/>
      </c>
      <c r="H766" s="9">
        <f>Source!AV609</f>
        <v>1</v>
      </c>
      <c r="I766" s="9"/>
      <c r="J766" s="22"/>
      <c r="K766" s="22">
        <f>Source!U609</f>
        <v>14.2</v>
      </c>
    </row>
    <row r="767" spans="1:22" ht="15" x14ac:dyDescent="0.25">
      <c r="A767" s="25"/>
      <c r="B767" s="25"/>
      <c r="C767" s="25"/>
      <c r="D767" s="25"/>
      <c r="E767" s="25"/>
      <c r="F767" s="25"/>
      <c r="G767" s="25"/>
      <c r="H767" s="25"/>
      <c r="I767" s="52">
        <f>J759+J760+J762+J763+J764+J765</f>
        <v>16986.559999999998</v>
      </c>
      <c r="J767" s="52"/>
      <c r="K767" s="26">
        <f>IF(Source!I609&lt;&gt;0, ROUND(I767/Source!I609, 2), 0)</f>
        <v>1698.66</v>
      </c>
      <c r="P767" s="24">
        <f>I767</f>
        <v>16986.559999999998</v>
      </c>
    </row>
    <row r="768" spans="1:22" ht="42.75" x14ac:dyDescent="0.2">
      <c r="A768" s="19">
        <v>75</v>
      </c>
      <c r="B768" s="19" t="str">
        <f>Source!F611</f>
        <v>1.18-2403-18-3/1</v>
      </c>
      <c r="C768" s="19" t="str">
        <f>Source!G611</f>
        <v>Техническое обслуживание наружных блоков сплит систем мощностью до 10 кВт - полугодовое</v>
      </c>
      <c r="D768" s="20" t="str">
        <f>Source!H611</f>
        <v>1 блок</v>
      </c>
      <c r="E768" s="9">
        <f>Source!I611</f>
        <v>10</v>
      </c>
      <c r="F768" s="22"/>
      <c r="G768" s="21"/>
      <c r="H768" s="9"/>
      <c r="I768" s="9"/>
      <c r="J768" s="22"/>
      <c r="K768" s="22"/>
      <c r="Q768">
        <f>ROUND((Source!BZ611/100)*ROUND((Source!AF611*Source!AV611)*Source!I611, 2), 2)</f>
        <v>11519.69</v>
      </c>
      <c r="R768">
        <f>Source!X611</f>
        <v>11519.69</v>
      </c>
      <c r="S768">
        <f>ROUND((Source!CA611/100)*ROUND((Source!AF611*Source!AV611)*Source!I611, 2), 2)</f>
        <v>1645.67</v>
      </c>
      <c r="T768">
        <f>Source!Y611</f>
        <v>1645.67</v>
      </c>
      <c r="U768">
        <f>ROUND((175/100)*ROUND((Source!AE611*Source!AV611)*Source!I611, 2), 2)</f>
        <v>0.88</v>
      </c>
      <c r="V768">
        <f>ROUND((108/100)*ROUND(Source!CS611*Source!I611, 2), 2)</f>
        <v>0.54</v>
      </c>
    </row>
    <row r="769" spans="1:16" x14ac:dyDescent="0.2">
      <c r="C769" s="23" t="str">
        <f>"Объем: "&amp;Source!I611&amp;"=1*"&amp;"10"</f>
        <v>Объем: 10=1*10</v>
      </c>
    </row>
    <row r="770" spans="1:16" ht="14.25" x14ac:dyDescent="0.2">
      <c r="A770" s="19"/>
      <c r="B770" s="19"/>
      <c r="C770" s="19" t="s">
        <v>500</v>
      </c>
      <c r="D770" s="20"/>
      <c r="E770" s="9"/>
      <c r="F770" s="22">
        <f>Source!AO611</f>
        <v>1645.67</v>
      </c>
      <c r="G770" s="21" t="str">
        <f>Source!DG611</f>
        <v/>
      </c>
      <c r="H770" s="9">
        <f>Source!AV611</f>
        <v>1</v>
      </c>
      <c r="I770" s="9">
        <f>IF(Source!BA611&lt;&gt; 0, Source!BA611, 1)</f>
        <v>1</v>
      </c>
      <c r="J770" s="22">
        <f>Source!S611</f>
        <v>16456.7</v>
      </c>
      <c r="K770" s="22"/>
    </row>
    <row r="771" spans="1:16" ht="14.25" x14ac:dyDescent="0.2">
      <c r="A771" s="19"/>
      <c r="B771" s="19"/>
      <c r="C771" s="19" t="s">
        <v>506</v>
      </c>
      <c r="D771" s="20"/>
      <c r="E771" s="9"/>
      <c r="F771" s="22">
        <f>Source!AM611</f>
        <v>3.49</v>
      </c>
      <c r="G771" s="21" t="str">
        <f>Source!DE611</f>
        <v/>
      </c>
      <c r="H771" s="9">
        <f>Source!AV611</f>
        <v>1</v>
      </c>
      <c r="I771" s="9">
        <f>IF(Source!BB611&lt;&gt; 0, Source!BB611, 1)</f>
        <v>1</v>
      </c>
      <c r="J771" s="22">
        <f>Source!Q611</f>
        <v>34.9</v>
      </c>
      <c r="K771" s="22"/>
    </row>
    <row r="772" spans="1:16" ht="14.25" x14ac:dyDescent="0.2">
      <c r="A772" s="19"/>
      <c r="B772" s="19"/>
      <c r="C772" s="19" t="s">
        <v>507</v>
      </c>
      <c r="D772" s="20"/>
      <c r="E772" s="9"/>
      <c r="F772" s="22">
        <f>Source!AN611</f>
        <v>0.05</v>
      </c>
      <c r="G772" s="21" t="str">
        <f>Source!DF611</f>
        <v/>
      </c>
      <c r="H772" s="9">
        <f>Source!AV611</f>
        <v>1</v>
      </c>
      <c r="I772" s="9">
        <f>IF(Source!BS611&lt;&gt; 0, Source!BS611, 1)</f>
        <v>1</v>
      </c>
      <c r="J772" s="27">
        <f>Source!R611</f>
        <v>0.5</v>
      </c>
      <c r="K772" s="22"/>
    </row>
    <row r="773" spans="1:16" ht="14.25" x14ac:dyDescent="0.2">
      <c r="A773" s="19"/>
      <c r="B773" s="19"/>
      <c r="C773" s="19" t="s">
        <v>508</v>
      </c>
      <c r="D773" s="20"/>
      <c r="E773" s="9"/>
      <c r="F773" s="22">
        <f>Source!AL611</f>
        <v>0.94</v>
      </c>
      <c r="G773" s="21" t="str">
        <f>Source!DD611</f>
        <v/>
      </c>
      <c r="H773" s="9">
        <f>Source!AW611</f>
        <v>1</v>
      </c>
      <c r="I773" s="9">
        <f>IF(Source!BC611&lt;&gt; 0, Source!BC611, 1)</f>
        <v>1</v>
      </c>
      <c r="J773" s="22">
        <f>Source!P611</f>
        <v>9.4</v>
      </c>
      <c r="K773" s="22"/>
    </row>
    <row r="774" spans="1:16" ht="14.25" x14ac:dyDescent="0.2">
      <c r="A774" s="19"/>
      <c r="B774" s="19"/>
      <c r="C774" s="19" t="s">
        <v>501</v>
      </c>
      <c r="D774" s="20" t="s">
        <v>502</v>
      </c>
      <c r="E774" s="9">
        <f>Source!AT611</f>
        <v>70</v>
      </c>
      <c r="F774" s="22"/>
      <c r="G774" s="21"/>
      <c r="H774" s="9"/>
      <c r="I774" s="9"/>
      <c r="J774" s="22">
        <f>SUM(R768:R773)</f>
        <v>11519.69</v>
      </c>
      <c r="K774" s="22"/>
    </row>
    <row r="775" spans="1:16" ht="14.25" x14ac:dyDescent="0.2">
      <c r="A775" s="19"/>
      <c r="B775" s="19"/>
      <c r="C775" s="19" t="s">
        <v>503</v>
      </c>
      <c r="D775" s="20" t="s">
        <v>502</v>
      </c>
      <c r="E775" s="9">
        <f>Source!AU611</f>
        <v>10</v>
      </c>
      <c r="F775" s="22"/>
      <c r="G775" s="21"/>
      <c r="H775" s="9"/>
      <c r="I775" s="9"/>
      <c r="J775" s="22">
        <f>SUM(T768:T774)</f>
        <v>1645.67</v>
      </c>
      <c r="K775" s="22"/>
    </row>
    <row r="776" spans="1:16" ht="14.25" x14ac:dyDescent="0.2">
      <c r="A776" s="19"/>
      <c r="B776" s="19"/>
      <c r="C776" s="19" t="s">
        <v>509</v>
      </c>
      <c r="D776" s="20" t="s">
        <v>502</v>
      </c>
      <c r="E776" s="9">
        <f>108</f>
        <v>108</v>
      </c>
      <c r="F776" s="22"/>
      <c r="G776" s="21"/>
      <c r="H776" s="9"/>
      <c r="I776" s="9"/>
      <c r="J776" s="22">
        <f>SUM(V768:V775)</f>
        <v>0.54</v>
      </c>
      <c r="K776" s="22"/>
    </row>
    <row r="777" spans="1:16" ht="14.25" x14ac:dyDescent="0.2">
      <c r="A777" s="19"/>
      <c r="B777" s="19"/>
      <c r="C777" s="19" t="s">
        <v>504</v>
      </c>
      <c r="D777" s="20" t="s">
        <v>505</v>
      </c>
      <c r="E777" s="9">
        <f>Source!AQ611</f>
        <v>2.48</v>
      </c>
      <c r="F777" s="22"/>
      <c r="G777" s="21" t="str">
        <f>Source!DI611</f>
        <v/>
      </c>
      <c r="H777" s="9">
        <f>Source!AV611</f>
        <v>1</v>
      </c>
      <c r="I777" s="9"/>
      <c r="J777" s="22"/>
      <c r="K777" s="22">
        <f>Source!U611</f>
        <v>24.8</v>
      </c>
    </row>
    <row r="778" spans="1:16" ht="15" x14ac:dyDescent="0.25">
      <c r="A778" s="25"/>
      <c r="B778" s="25"/>
      <c r="C778" s="25"/>
      <c r="D778" s="25"/>
      <c r="E778" s="25"/>
      <c r="F778" s="25"/>
      <c r="G778" s="25"/>
      <c r="H778" s="25"/>
      <c r="I778" s="52">
        <f>J770+J771+J773+J774+J775+J776</f>
        <v>29666.9</v>
      </c>
      <c r="J778" s="52"/>
      <c r="K778" s="26">
        <f>IF(Source!I611&lt;&gt;0, ROUND(I778/Source!I611, 2), 0)</f>
        <v>2966.69</v>
      </c>
      <c r="P778" s="24">
        <f>I778</f>
        <v>29666.9</v>
      </c>
    </row>
    <row r="780" spans="1:16" ht="15" customHeight="1" x14ac:dyDescent="0.25">
      <c r="A780" s="54" t="str">
        <f>CONCATENATE("Итого по подразделу: ",IF(Source!G616&lt;&gt;"Новый подраздел", Source!G616, ""))</f>
        <v>Итого по подразделу: Вентиляция и кондиционирование</v>
      </c>
      <c r="B780" s="54"/>
      <c r="C780" s="54"/>
      <c r="D780" s="54"/>
      <c r="E780" s="54"/>
      <c r="F780" s="54"/>
      <c r="G780" s="54"/>
      <c r="H780" s="54"/>
      <c r="I780" s="53">
        <f>SUM(P749:P779)</f>
        <v>85192.54</v>
      </c>
      <c r="J780" s="53"/>
      <c r="K780" s="28"/>
    </row>
    <row r="783" spans="1:16" ht="16.5" customHeight="1" x14ac:dyDescent="0.25">
      <c r="A783" s="51" t="str">
        <f>CONCATENATE("Подраздел: ",IF(Source!G646&lt;&gt;"Новый подраздел", Source!G646, ""))</f>
        <v>Подраздел: Система электроснабжения</v>
      </c>
      <c r="B783" s="51"/>
      <c r="C783" s="51"/>
      <c r="D783" s="51"/>
      <c r="E783" s="51"/>
      <c r="F783" s="51"/>
      <c r="G783" s="51"/>
      <c r="H783" s="51"/>
      <c r="I783" s="51"/>
      <c r="J783" s="51"/>
      <c r="K783" s="51"/>
    </row>
    <row r="785" spans="1:22" ht="15" customHeight="1" x14ac:dyDescent="0.25">
      <c r="B785" s="55" t="str">
        <f>Source!G650</f>
        <v>Щитовое оборудование:</v>
      </c>
      <c r="C785" s="55"/>
      <c r="D785" s="55"/>
      <c r="E785" s="55"/>
      <c r="F785" s="55"/>
      <c r="G785" s="55"/>
      <c r="H785" s="55"/>
      <c r="I785" s="55"/>
      <c r="J785" s="55"/>
    </row>
    <row r="786" spans="1:22" ht="71.25" x14ac:dyDescent="0.2">
      <c r="A786" s="19">
        <v>76</v>
      </c>
      <c r="B786" s="19" t="str">
        <f>Source!F651</f>
        <v>1.21-2203-2-5/1</v>
      </c>
      <c r="C786" s="19" t="str">
        <f>Source!G651</f>
        <v>Техническое обслуживание силового распределительного пункта с установочными автоматами, число групп 12 /( Распределительный щит навесной, 36 модулей, IP54 )</v>
      </c>
      <c r="D786" s="20" t="str">
        <f>Source!H651</f>
        <v>шт.</v>
      </c>
      <c r="E786" s="9">
        <f>Source!I651</f>
        <v>10</v>
      </c>
      <c r="F786" s="22"/>
      <c r="G786" s="21"/>
      <c r="H786" s="9"/>
      <c r="I786" s="9"/>
      <c r="J786" s="22"/>
      <c r="K786" s="22"/>
      <c r="Q786">
        <f>ROUND((Source!BZ651/100)*ROUND((Source!AF651*Source!AV651)*Source!I651, 2), 2)</f>
        <v>103738.32</v>
      </c>
      <c r="R786">
        <f>Source!X651</f>
        <v>103738.32</v>
      </c>
      <c r="S786">
        <f>ROUND((Source!CA651/100)*ROUND((Source!AF651*Source!AV651)*Source!I651, 2), 2)</f>
        <v>14819.76</v>
      </c>
      <c r="T786">
        <f>Source!Y651</f>
        <v>14819.76</v>
      </c>
      <c r="U786">
        <f>ROUND((175/100)*ROUND((Source!AE651*Source!AV651)*Source!I651, 2), 2)</f>
        <v>0</v>
      </c>
      <c r="V786">
        <f>ROUND((108/100)*ROUND(Source!CS651*Source!I651, 2), 2)</f>
        <v>0</v>
      </c>
    </row>
    <row r="787" spans="1:22" x14ac:dyDescent="0.2">
      <c r="C787" s="23" t="str">
        <f>"Объем: "&amp;Source!I651&amp;"=1*"&amp;"10"</f>
        <v>Объем: 10=1*10</v>
      </c>
    </row>
    <row r="788" spans="1:22" ht="14.25" x14ac:dyDescent="0.2">
      <c r="A788" s="19"/>
      <c r="B788" s="19"/>
      <c r="C788" s="19" t="s">
        <v>500</v>
      </c>
      <c r="D788" s="20"/>
      <c r="E788" s="9"/>
      <c r="F788" s="22">
        <f>Source!AO651</f>
        <v>14819.76</v>
      </c>
      <c r="G788" s="21" t="str">
        <f>Source!DG651</f>
        <v/>
      </c>
      <c r="H788" s="9">
        <f>Source!AV651</f>
        <v>1</v>
      </c>
      <c r="I788" s="9">
        <f>IF(Source!BA651&lt;&gt; 0, Source!BA651, 1)</f>
        <v>1</v>
      </c>
      <c r="J788" s="22">
        <f>Source!S651</f>
        <v>148197.6</v>
      </c>
      <c r="K788" s="22"/>
    </row>
    <row r="789" spans="1:22" ht="14.25" x14ac:dyDescent="0.2">
      <c r="A789" s="19"/>
      <c r="B789" s="19"/>
      <c r="C789" s="19" t="s">
        <v>508</v>
      </c>
      <c r="D789" s="20"/>
      <c r="E789" s="9"/>
      <c r="F789" s="22">
        <f>Source!AL651</f>
        <v>205.53</v>
      </c>
      <c r="G789" s="21" t="str">
        <f>Source!DD651</f>
        <v/>
      </c>
      <c r="H789" s="9">
        <f>Source!AW651</f>
        <v>1</v>
      </c>
      <c r="I789" s="9">
        <f>IF(Source!BC651&lt;&gt; 0, Source!BC651, 1)</f>
        <v>1</v>
      </c>
      <c r="J789" s="22">
        <f>Source!P651</f>
        <v>2055.3000000000002</v>
      </c>
      <c r="K789" s="22"/>
    </row>
    <row r="790" spans="1:22" ht="14.25" x14ac:dyDescent="0.2">
      <c r="A790" s="19"/>
      <c r="B790" s="19"/>
      <c r="C790" s="19" t="s">
        <v>501</v>
      </c>
      <c r="D790" s="20" t="s">
        <v>502</v>
      </c>
      <c r="E790" s="9">
        <f>Source!AT651</f>
        <v>70</v>
      </c>
      <c r="F790" s="22"/>
      <c r="G790" s="21"/>
      <c r="H790" s="9"/>
      <c r="I790" s="9"/>
      <c r="J790" s="22">
        <f>SUM(R786:R789)</f>
        <v>103738.32</v>
      </c>
      <c r="K790" s="22"/>
    </row>
    <row r="791" spans="1:22" ht="14.25" x14ac:dyDescent="0.2">
      <c r="A791" s="19"/>
      <c r="B791" s="19"/>
      <c r="C791" s="19" t="s">
        <v>503</v>
      </c>
      <c r="D791" s="20" t="s">
        <v>502</v>
      </c>
      <c r="E791" s="9">
        <f>Source!AU651</f>
        <v>10</v>
      </c>
      <c r="F791" s="22"/>
      <c r="G791" s="21"/>
      <c r="H791" s="9"/>
      <c r="I791" s="9"/>
      <c r="J791" s="22">
        <f>SUM(T786:T790)</f>
        <v>14819.76</v>
      </c>
      <c r="K791" s="22"/>
    </row>
    <row r="792" spans="1:22" ht="14.25" x14ac:dyDescent="0.2">
      <c r="A792" s="19"/>
      <c r="B792" s="19"/>
      <c r="C792" s="19" t="s">
        <v>504</v>
      </c>
      <c r="D792" s="20" t="s">
        <v>505</v>
      </c>
      <c r="E792" s="9">
        <f>Source!AQ651</f>
        <v>24</v>
      </c>
      <c r="F792" s="22"/>
      <c r="G792" s="21" t="str">
        <f>Source!DI651</f>
        <v/>
      </c>
      <c r="H792" s="9">
        <f>Source!AV651</f>
        <v>1</v>
      </c>
      <c r="I792" s="9"/>
      <c r="J792" s="22"/>
      <c r="K792" s="22">
        <f>Source!U651</f>
        <v>240</v>
      </c>
    </row>
    <row r="793" spans="1:22" ht="15" x14ac:dyDescent="0.25">
      <c r="A793" s="25"/>
      <c r="B793" s="25"/>
      <c r="C793" s="25"/>
      <c r="D793" s="25"/>
      <c r="E793" s="25"/>
      <c r="F793" s="25"/>
      <c r="G793" s="25"/>
      <c r="H793" s="25"/>
      <c r="I793" s="52">
        <f>J788+J789+J790+J791</f>
        <v>268810.98</v>
      </c>
      <c r="J793" s="52"/>
      <c r="K793" s="26">
        <f>IF(Source!I651&lt;&gt;0, ROUND(I793/Source!I651, 2), 0)</f>
        <v>26881.1</v>
      </c>
      <c r="P793" s="24">
        <f>I793</f>
        <v>268810.98</v>
      </c>
    </row>
    <row r="794" spans="1:22" ht="57" x14ac:dyDescent="0.2">
      <c r="A794" s="19">
        <v>77</v>
      </c>
      <c r="B794" s="19" t="str">
        <f>Source!F654</f>
        <v>1.21-2303-3-1/1</v>
      </c>
      <c r="C794" s="19" t="str">
        <f>Source!G654</f>
        <v>Техническое обслуживание выключателей автоматических трехполюсных установочных, номинальный ток до 200 А /  3р, Iн= 25А</v>
      </c>
      <c r="D794" s="20" t="str">
        <f>Source!H654</f>
        <v>шт.</v>
      </c>
      <c r="E794" s="9">
        <f>Source!I654</f>
        <v>10</v>
      </c>
      <c r="F794" s="22"/>
      <c r="G794" s="21"/>
      <c r="H794" s="9"/>
      <c r="I794" s="9"/>
      <c r="J794" s="22"/>
      <c r="K794" s="22"/>
      <c r="Q794">
        <f>ROUND((Source!BZ654/100)*ROUND((Source!AF654*Source!AV654)*Source!I654, 2), 2)</f>
        <v>6483.61</v>
      </c>
      <c r="R794">
        <f>Source!X654</f>
        <v>6483.61</v>
      </c>
      <c r="S794">
        <f>ROUND((Source!CA654/100)*ROUND((Source!AF654*Source!AV654)*Source!I654, 2), 2)</f>
        <v>926.23</v>
      </c>
      <c r="T794">
        <f>Source!Y654</f>
        <v>926.23</v>
      </c>
      <c r="U794">
        <f>ROUND((175/100)*ROUND((Source!AE654*Source!AV654)*Source!I654, 2), 2)</f>
        <v>0</v>
      </c>
      <c r="V794">
        <f>ROUND((108/100)*ROUND(Source!CS654*Source!I654, 2), 2)</f>
        <v>0</v>
      </c>
    </row>
    <row r="795" spans="1:22" x14ac:dyDescent="0.2">
      <c r="C795" s="23" t="str">
        <f>"Объем: "&amp;Source!I654&amp;"=1*"&amp;"10"</f>
        <v>Объем: 10=1*10</v>
      </c>
    </row>
    <row r="796" spans="1:22" ht="14.25" x14ac:dyDescent="0.2">
      <c r="A796" s="19"/>
      <c r="B796" s="19"/>
      <c r="C796" s="19" t="s">
        <v>500</v>
      </c>
      <c r="D796" s="20"/>
      <c r="E796" s="9"/>
      <c r="F796" s="22">
        <f>Source!AO654</f>
        <v>926.23</v>
      </c>
      <c r="G796" s="21" t="str">
        <f>Source!DG654</f>
        <v/>
      </c>
      <c r="H796" s="9">
        <f>Source!AV654</f>
        <v>1</v>
      </c>
      <c r="I796" s="9">
        <f>IF(Source!BA654&lt;&gt; 0, Source!BA654, 1)</f>
        <v>1</v>
      </c>
      <c r="J796" s="22">
        <f>Source!S654</f>
        <v>9262.2999999999993</v>
      </c>
      <c r="K796" s="22"/>
    </row>
    <row r="797" spans="1:22" ht="14.25" x14ac:dyDescent="0.2">
      <c r="A797" s="19"/>
      <c r="B797" s="19"/>
      <c r="C797" s="19" t="s">
        <v>508</v>
      </c>
      <c r="D797" s="20"/>
      <c r="E797" s="9"/>
      <c r="F797" s="22">
        <f>Source!AL654</f>
        <v>12.39</v>
      </c>
      <c r="G797" s="21" t="str">
        <f>Source!DD654</f>
        <v/>
      </c>
      <c r="H797" s="9">
        <f>Source!AW654</f>
        <v>1</v>
      </c>
      <c r="I797" s="9">
        <f>IF(Source!BC654&lt;&gt; 0, Source!BC654, 1)</f>
        <v>1</v>
      </c>
      <c r="J797" s="22">
        <f>Source!P654</f>
        <v>123.9</v>
      </c>
      <c r="K797" s="22"/>
    </row>
    <row r="798" spans="1:22" ht="14.25" x14ac:dyDescent="0.2">
      <c r="A798" s="19"/>
      <c r="B798" s="19"/>
      <c r="C798" s="19" t="s">
        <v>501</v>
      </c>
      <c r="D798" s="20" t="s">
        <v>502</v>
      </c>
      <c r="E798" s="9">
        <f>Source!AT654</f>
        <v>70</v>
      </c>
      <c r="F798" s="22"/>
      <c r="G798" s="21"/>
      <c r="H798" s="9"/>
      <c r="I798" s="9"/>
      <c r="J798" s="22">
        <f>SUM(R794:R797)</f>
        <v>6483.61</v>
      </c>
      <c r="K798" s="22"/>
    </row>
    <row r="799" spans="1:22" ht="14.25" x14ac:dyDescent="0.2">
      <c r="A799" s="19"/>
      <c r="B799" s="19"/>
      <c r="C799" s="19" t="s">
        <v>503</v>
      </c>
      <c r="D799" s="20" t="s">
        <v>502</v>
      </c>
      <c r="E799" s="9">
        <f>Source!AU654</f>
        <v>10</v>
      </c>
      <c r="F799" s="22"/>
      <c r="G799" s="21"/>
      <c r="H799" s="9"/>
      <c r="I799" s="9"/>
      <c r="J799" s="22">
        <f>SUM(T794:T798)</f>
        <v>926.23</v>
      </c>
      <c r="K799" s="22"/>
    </row>
    <row r="800" spans="1:22" ht="14.25" x14ac:dyDescent="0.2">
      <c r="A800" s="19"/>
      <c r="B800" s="19"/>
      <c r="C800" s="19" t="s">
        <v>504</v>
      </c>
      <c r="D800" s="20" t="s">
        <v>505</v>
      </c>
      <c r="E800" s="9">
        <f>Source!AQ654</f>
        <v>1.5</v>
      </c>
      <c r="F800" s="22"/>
      <c r="G800" s="21" t="str">
        <f>Source!DI654</f>
        <v/>
      </c>
      <c r="H800" s="9">
        <f>Source!AV654</f>
        <v>1</v>
      </c>
      <c r="I800" s="9"/>
      <c r="J800" s="22"/>
      <c r="K800" s="22">
        <f>Source!U654</f>
        <v>15</v>
      </c>
    </row>
    <row r="801" spans="1:22" ht="15" x14ac:dyDescent="0.25">
      <c r="A801" s="25"/>
      <c r="B801" s="25"/>
      <c r="C801" s="25"/>
      <c r="D801" s="25"/>
      <c r="E801" s="25"/>
      <c r="F801" s="25"/>
      <c r="G801" s="25"/>
      <c r="H801" s="25"/>
      <c r="I801" s="52">
        <f>J796+J797+J798+J799</f>
        <v>16796.039999999997</v>
      </c>
      <c r="J801" s="52"/>
      <c r="K801" s="26">
        <f>IF(Source!I654&lt;&gt;0, ROUND(I801/Source!I654, 2), 0)</f>
        <v>1679.6</v>
      </c>
      <c r="P801" s="24">
        <f>I801</f>
        <v>16796.039999999997</v>
      </c>
    </row>
    <row r="802" spans="1:22" ht="57" x14ac:dyDescent="0.2">
      <c r="A802" s="19">
        <v>78</v>
      </c>
      <c r="B802" s="19" t="str">
        <f>Source!F655</f>
        <v>1.21-2303-28-1/1</v>
      </c>
      <c r="C802" s="19" t="str">
        <f>Source!G655</f>
        <v>Техническое обслуживание автоматического выключателя до 160 А / Устройство защитного отключения 4p, Iн= 40А, диф=300мА</v>
      </c>
      <c r="D802" s="20" t="str">
        <f>Source!H655</f>
        <v>шт.</v>
      </c>
      <c r="E802" s="9">
        <f>Source!I655</f>
        <v>10</v>
      </c>
      <c r="F802" s="22"/>
      <c r="G802" s="21"/>
      <c r="H802" s="9"/>
      <c r="I802" s="9"/>
      <c r="J802" s="22"/>
      <c r="K802" s="22"/>
      <c r="Q802">
        <f>ROUND((Source!BZ655/100)*ROUND((Source!AF655*Source!AV655)*Source!I655, 2), 2)</f>
        <v>2980.6</v>
      </c>
      <c r="R802">
        <f>Source!X655</f>
        <v>2980.6</v>
      </c>
      <c r="S802">
        <f>ROUND((Source!CA655/100)*ROUND((Source!AF655*Source!AV655)*Source!I655, 2), 2)</f>
        <v>425.8</v>
      </c>
      <c r="T802">
        <f>Source!Y655</f>
        <v>425.8</v>
      </c>
      <c r="U802">
        <f>ROUND((175/100)*ROUND((Source!AE655*Source!AV655)*Source!I655, 2), 2)</f>
        <v>0</v>
      </c>
      <c r="V802">
        <f>ROUND((108/100)*ROUND(Source!CS655*Source!I655, 2), 2)</f>
        <v>0</v>
      </c>
    </row>
    <row r="803" spans="1:22" x14ac:dyDescent="0.2">
      <c r="C803" s="23" t="str">
        <f>"Объем: "&amp;Source!I655&amp;"=1*"&amp;"10"</f>
        <v>Объем: 10=1*10</v>
      </c>
    </row>
    <row r="804" spans="1:22" ht="14.25" x14ac:dyDescent="0.2">
      <c r="A804" s="19"/>
      <c r="B804" s="19"/>
      <c r="C804" s="19" t="s">
        <v>500</v>
      </c>
      <c r="D804" s="20"/>
      <c r="E804" s="9"/>
      <c r="F804" s="22">
        <f>Source!AO655</f>
        <v>212.9</v>
      </c>
      <c r="G804" s="21" t="str">
        <f>Source!DG655</f>
        <v>)*2</v>
      </c>
      <c r="H804" s="9">
        <f>Source!AV655</f>
        <v>1</v>
      </c>
      <c r="I804" s="9">
        <f>IF(Source!BA655&lt;&gt; 0, Source!BA655, 1)</f>
        <v>1</v>
      </c>
      <c r="J804" s="22">
        <f>Source!S655</f>
        <v>4258</v>
      </c>
      <c r="K804" s="22"/>
    </row>
    <row r="805" spans="1:22" ht="14.25" x14ac:dyDescent="0.2">
      <c r="A805" s="19"/>
      <c r="B805" s="19"/>
      <c r="C805" s="19" t="s">
        <v>508</v>
      </c>
      <c r="D805" s="20"/>
      <c r="E805" s="9"/>
      <c r="F805" s="22">
        <f>Source!AL655</f>
        <v>4.53</v>
      </c>
      <c r="G805" s="21" t="str">
        <f>Source!DD655</f>
        <v>)*2</v>
      </c>
      <c r="H805" s="9">
        <f>Source!AW655</f>
        <v>1</v>
      </c>
      <c r="I805" s="9">
        <f>IF(Source!BC655&lt;&gt; 0, Source!BC655, 1)</f>
        <v>1</v>
      </c>
      <c r="J805" s="22">
        <f>Source!P655</f>
        <v>90.6</v>
      </c>
      <c r="K805" s="22"/>
    </row>
    <row r="806" spans="1:22" ht="14.25" x14ac:dyDescent="0.2">
      <c r="A806" s="19"/>
      <c r="B806" s="19"/>
      <c r="C806" s="19" t="s">
        <v>501</v>
      </c>
      <c r="D806" s="20" t="s">
        <v>502</v>
      </c>
      <c r="E806" s="9">
        <f>Source!AT655</f>
        <v>70</v>
      </c>
      <c r="F806" s="22"/>
      <c r="G806" s="21"/>
      <c r="H806" s="9"/>
      <c r="I806" s="9"/>
      <c r="J806" s="22">
        <f>SUM(R802:R805)</f>
        <v>2980.6</v>
      </c>
      <c r="K806" s="22"/>
    </row>
    <row r="807" spans="1:22" ht="14.25" x14ac:dyDescent="0.2">
      <c r="A807" s="19"/>
      <c r="B807" s="19"/>
      <c r="C807" s="19" t="s">
        <v>503</v>
      </c>
      <c r="D807" s="20" t="s">
        <v>502</v>
      </c>
      <c r="E807" s="9">
        <f>Source!AU655</f>
        <v>10</v>
      </c>
      <c r="F807" s="22"/>
      <c r="G807" s="21"/>
      <c r="H807" s="9"/>
      <c r="I807" s="9"/>
      <c r="J807" s="22">
        <f>SUM(T802:T806)</f>
        <v>425.8</v>
      </c>
      <c r="K807" s="22"/>
    </row>
    <row r="808" spans="1:22" ht="14.25" x14ac:dyDescent="0.2">
      <c r="A808" s="19"/>
      <c r="B808" s="19"/>
      <c r="C808" s="19" t="s">
        <v>504</v>
      </c>
      <c r="D808" s="20" t="s">
        <v>505</v>
      </c>
      <c r="E808" s="9">
        <f>Source!AQ655</f>
        <v>0.3</v>
      </c>
      <c r="F808" s="22"/>
      <c r="G808" s="21" t="str">
        <f>Source!DI655</f>
        <v>)*2</v>
      </c>
      <c r="H808" s="9">
        <f>Source!AV655</f>
        <v>1</v>
      </c>
      <c r="I808" s="9"/>
      <c r="J808" s="22"/>
      <c r="K808" s="22">
        <f>Source!U655</f>
        <v>6</v>
      </c>
    </row>
    <row r="809" spans="1:22" ht="15" x14ac:dyDescent="0.25">
      <c r="A809" s="25"/>
      <c r="B809" s="25"/>
      <c r="C809" s="25"/>
      <c r="D809" s="25"/>
      <c r="E809" s="25"/>
      <c r="F809" s="25"/>
      <c r="G809" s="25"/>
      <c r="H809" s="25"/>
      <c r="I809" s="52">
        <f>J804+J805+J806+J807</f>
        <v>7755.0000000000009</v>
      </c>
      <c r="J809" s="52"/>
      <c r="K809" s="26">
        <f>IF(Source!I655&lt;&gt;0, ROUND(I809/Source!I655, 2), 0)</f>
        <v>775.5</v>
      </c>
      <c r="P809" s="24">
        <f>I809</f>
        <v>7755.0000000000009</v>
      </c>
    </row>
    <row r="810" spans="1:22" ht="71.25" x14ac:dyDescent="0.2">
      <c r="A810" s="19">
        <v>79</v>
      </c>
      <c r="B810" s="19" t="str">
        <f>Source!F657</f>
        <v>1.21-2303-19-1/1</v>
      </c>
      <c r="C810" s="19" t="str">
        <f>Source!G657</f>
        <v>Техническое обслуживание выключателей автоматических однополюсных установочных на номинальный ток до 63 А/             1р, Iн=10А</v>
      </c>
      <c r="D810" s="20" t="str">
        <f>Source!H657</f>
        <v>шт.</v>
      </c>
      <c r="E810" s="9">
        <f>Source!I657</f>
        <v>80</v>
      </c>
      <c r="F810" s="22"/>
      <c r="G810" s="21"/>
      <c r="H810" s="9"/>
      <c r="I810" s="9"/>
      <c r="J810" s="22"/>
      <c r="K810" s="22"/>
      <c r="Q810">
        <f>ROUND((Source!BZ657/100)*ROUND((Source!AF657*Source!AV657)*Source!I657, 2), 2)</f>
        <v>41495.440000000002</v>
      </c>
      <c r="R810">
        <f>Source!X657</f>
        <v>41495.440000000002</v>
      </c>
      <c r="S810">
        <f>ROUND((Source!CA657/100)*ROUND((Source!AF657*Source!AV657)*Source!I657, 2), 2)</f>
        <v>5927.92</v>
      </c>
      <c r="T810">
        <f>Source!Y657</f>
        <v>5927.92</v>
      </c>
      <c r="U810">
        <f>ROUND((175/100)*ROUND((Source!AE657*Source!AV657)*Source!I657, 2), 2)</f>
        <v>0</v>
      </c>
      <c r="V810">
        <f>ROUND((108/100)*ROUND(Source!CS657*Source!I657, 2), 2)</f>
        <v>0</v>
      </c>
    </row>
    <row r="811" spans="1:22" x14ac:dyDescent="0.2">
      <c r="C811" s="23" t="str">
        <f>"Объем: "&amp;Source!I657&amp;"=8*"&amp;"10"</f>
        <v>Объем: 80=8*10</v>
      </c>
    </row>
    <row r="812" spans="1:22" ht="14.25" x14ac:dyDescent="0.2">
      <c r="A812" s="19"/>
      <c r="B812" s="19"/>
      <c r="C812" s="19" t="s">
        <v>500</v>
      </c>
      <c r="D812" s="20"/>
      <c r="E812" s="9"/>
      <c r="F812" s="22">
        <f>Source!AO657</f>
        <v>740.99</v>
      </c>
      <c r="G812" s="21" t="str">
        <f>Source!DG657</f>
        <v/>
      </c>
      <c r="H812" s="9">
        <f>Source!AV657</f>
        <v>1</v>
      </c>
      <c r="I812" s="9">
        <f>IF(Source!BA657&lt;&gt; 0, Source!BA657, 1)</f>
        <v>1</v>
      </c>
      <c r="J812" s="22">
        <f>Source!S657</f>
        <v>59279.199999999997</v>
      </c>
      <c r="K812" s="22"/>
    </row>
    <row r="813" spans="1:22" ht="14.25" x14ac:dyDescent="0.2">
      <c r="A813" s="19"/>
      <c r="B813" s="19"/>
      <c r="C813" s="19" t="s">
        <v>508</v>
      </c>
      <c r="D813" s="20"/>
      <c r="E813" s="9"/>
      <c r="F813" s="22">
        <f>Source!AL657</f>
        <v>1.7</v>
      </c>
      <c r="G813" s="21" t="str">
        <f>Source!DD657</f>
        <v/>
      </c>
      <c r="H813" s="9">
        <f>Source!AW657</f>
        <v>1</v>
      </c>
      <c r="I813" s="9">
        <f>IF(Source!BC657&lt;&gt; 0, Source!BC657, 1)</f>
        <v>1</v>
      </c>
      <c r="J813" s="22">
        <f>Source!P657</f>
        <v>136</v>
      </c>
      <c r="K813" s="22"/>
    </row>
    <row r="814" spans="1:22" ht="14.25" x14ac:dyDescent="0.2">
      <c r="A814" s="19"/>
      <c r="B814" s="19"/>
      <c r="C814" s="19" t="s">
        <v>501</v>
      </c>
      <c r="D814" s="20" t="s">
        <v>502</v>
      </c>
      <c r="E814" s="9">
        <f>Source!AT657</f>
        <v>70</v>
      </c>
      <c r="F814" s="22"/>
      <c r="G814" s="21"/>
      <c r="H814" s="9"/>
      <c r="I814" s="9"/>
      <c r="J814" s="22">
        <f>SUM(R810:R813)</f>
        <v>41495.440000000002</v>
      </c>
      <c r="K814" s="22"/>
    </row>
    <row r="815" spans="1:22" ht="14.25" x14ac:dyDescent="0.2">
      <c r="A815" s="19"/>
      <c r="B815" s="19"/>
      <c r="C815" s="19" t="s">
        <v>503</v>
      </c>
      <c r="D815" s="20" t="s">
        <v>502</v>
      </c>
      <c r="E815" s="9">
        <f>Source!AU657</f>
        <v>10</v>
      </c>
      <c r="F815" s="22"/>
      <c r="G815" s="21"/>
      <c r="H815" s="9"/>
      <c r="I815" s="9"/>
      <c r="J815" s="22">
        <f>SUM(T810:T814)</f>
        <v>5927.92</v>
      </c>
      <c r="K815" s="22"/>
    </row>
    <row r="816" spans="1:22" ht="14.25" x14ac:dyDescent="0.2">
      <c r="A816" s="19"/>
      <c r="B816" s="19"/>
      <c r="C816" s="19" t="s">
        <v>504</v>
      </c>
      <c r="D816" s="20" t="s">
        <v>505</v>
      </c>
      <c r="E816" s="9">
        <f>Source!AQ657</f>
        <v>1.2</v>
      </c>
      <c r="F816" s="22"/>
      <c r="G816" s="21" t="str">
        <f>Source!DI657</f>
        <v/>
      </c>
      <c r="H816" s="9">
        <f>Source!AV657</f>
        <v>1</v>
      </c>
      <c r="I816" s="9"/>
      <c r="J816" s="22"/>
      <c r="K816" s="22">
        <f>Source!U657</f>
        <v>96</v>
      </c>
    </row>
    <row r="817" spans="1:22" ht="15" x14ac:dyDescent="0.25">
      <c r="A817" s="25"/>
      <c r="B817" s="25"/>
      <c r="C817" s="25"/>
      <c r="D817" s="25"/>
      <c r="E817" s="25"/>
      <c r="F817" s="25"/>
      <c r="G817" s="25"/>
      <c r="H817" s="25"/>
      <c r="I817" s="52">
        <f>J812+J813+J814+J815</f>
        <v>106838.56</v>
      </c>
      <c r="J817" s="52"/>
      <c r="K817" s="26">
        <f>IF(Source!I657&lt;&gt;0, ROUND(I817/Source!I657, 2), 0)</f>
        <v>1335.48</v>
      </c>
      <c r="P817" s="24">
        <f>I817</f>
        <v>106838.56</v>
      </c>
    </row>
    <row r="818" spans="1:22" ht="71.25" x14ac:dyDescent="0.2">
      <c r="A818" s="19">
        <v>80</v>
      </c>
      <c r="B818" s="19" t="str">
        <f>Source!F659</f>
        <v>1.21-2303-19-1/1</v>
      </c>
      <c r="C818" s="19" t="str">
        <f>Source!G659</f>
        <v>Техническое обслуживание выключателей автоматических однополюсных установочных на номинальный ток до 63 А/             1р, Iн=16А</v>
      </c>
      <c r="D818" s="20" t="str">
        <f>Source!H659</f>
        <v>шт.</v>
      </c>
      <c r="E818" s="9">
        <f>Source!I659</f>
        <v>80</v>
      </c>
      <c r="F818" s="22"/>
      <c r="G818" s="21"/>
      <c r="H818" s="9"/>
      <c r="I818" s="9"/>
      <c r="J818" s="22"/>
      <c r="K818" s="22"/>
      <c r="Q818">
        <f>ROUND((Source!BZ659/100)*ROUND((Source!AF659*Source!AV659)*Source!I659, 2), 2)</f>
        <v>41495.440000000002</v>
      </c>
      <c r="R818">
        <f>Source!X659</f>
        <v>41495.440000000002</v>
      </c>
      <c r="S818">
        <f>ROUND((Source!CA659/100)*ROUND((Source!AF659*Source!AV659)*Source!I659, 2), 2)</f>
        <v>5927.92</v>
      </c>
      <c r="T818">
        <f>Source!Y659</f>
        <v>5927.92</v>
      </c>
      <c r="U818">
        <f>ROUND((175/100)*ROUND((Source!AE659*Source!AV659)*Source!I659, 2), 2)</f>
        <v>0</v>
      </c>
      <c r="V818">
        <f>ROUND((108/100)*ROUND(Source!CS659*Source!I659, 2), 2)</f>
        <v>0</v>
      </c>
    </row>
    <row r="819" spans="1:22" x14ac:dyDescent="0.2">
      <c r="C819" s="23" t="str">
        <f>"Объем: "&amp;Source!I659&amp;"=8*"&amp;"10"</f>
        <v>Объем: 80=8*10</v>
      </c>
    </row>
    <row r="820" spans="1:22" ht="14.25" x14ac:dyDescent="0.2">
      <c r="A820" s="19"/>
      <c r="B820" s="19"/>
      <c r="C820" s="19" t="s">
        <v>500</v>
      </c>
      <c r="D820" s="20"/>
      <c r="E820" s="9"/>
      <c r="F820" s="22">
        <f>Source!AO659</f>
        <v>740.99</v>
      </c>
      <c r="G820" s="21" t="str">
        <f>Source!DG659</f>
        <v/>
      </c>
      <c r="H820" s="9">
        <f>Source!AV659</f>
        <v>1</v>
      </c>
      <c r="I820" s="9">
        <f>IF(Source!BA659&lt;&gt; 0, Source!BA659, 1)</f>
        <v>1</v>
      </c>
      <c r="J820" s="22">
        <f>Source!S659</f>
        <v>59279.199999999997</v>
      </c>
      <c r="K820" s="22"/>
    </row>
    <row r="821" spans="1:22" ht="14.25" x14ac:dyDescent="0.2">
      <c r="A821" s="19"/>
      <c r="B821" s="19"/>
      <c r="C821" s="19" t="s">
        <v>508</v>
      </c>
      <c r="D821" s="20"/>
      <c r="E821" s="9"/>
      <c r="F821" s="22">
        <f>Source!AL659</f>
        <v>1.7</v>
      </c>
      <c r="G821" s="21" t="str">
        <f>Source!DD659</f>
        <v/>
      </c>
      <c r="H821" s="9">
        <f>Source!AW659</f>
        <v>1</v>
      </c>
      <c r="I821" s="9">
        <f>IF(Source!BC659&lt;&gt; 0, Source!BC659, 1)</f>
        <v>1</v>
      </c>
      <c r="J821" s="22">
        <f>Source!P659</f>
        <v>136</v>
      </c>
      <c r="K821" s="22"/>
    </row>
    <row r="822" spans="1:22" ht="14.25" x14ac:dyDescent="0.2">
      <c r="A822" s="19"/>
      <c r="B822" s="19"/>
      <c r="C822" s="19" t="s">
        <v>501</v>
      </c>
      <c r="D822" s="20" t="s">
        <v>502</v>
      </c>
      <c r="E822" s="9">
        <f>Source!AT659</f>
        <v>70</v>
      </c>
      <c r="F822" s="22"/>
      <c r="G822" s="21"/>
      <c r="H822" s="9"/>
      <c r="I822" s="9"/>
      <c r="J822" s="22">
        <f>SUM(R818:R821)</f>
        <v>41495.440000000002</v>
      </c>
      <c r="K822" s="22"/>
    </row>
    <row r="823" spans="1:22" ht="14.25" x14ac:dyDescent="0.2">
      <c r="A823" s="19"/>
      <c r="B823" s="19"/>
      <c r="C823" s="19" t="s">
        <v>503</v>
      </c>
      <c r="D823" s="20" t="s">
        <v>502</v>
      </c>
      <c r="E823" s="9">
        <f>Source!AU659</f>
        <v>10</v>
      </c>
      <c r="F823" s="22"/>
      <c r="G823" s="21"/>
      <c r="H823" s="9"/>
      <c r="I823" s="9"/>
      <c r="J823" s="22">
        <f>SUM(T818:T822)</f>
        <v>5927.92</v>
      </c>
      <c r="K823" s="22"/>
    </row>
    <row r="824" spans="1:22" ht="14.25" x14ac:dyDescent="0.2">
      <c r="A824" s="19"/>
      <c r="B824" s="19"/>
      <c r="C824" s="19" t="s">
        <v>504</v>
      </c>
      <c r="D824" s="20" t="s">
        <v>505</v>
      </c>
      <c r="E824" s="9">
        <f>Source!AQ659</f>
        <v>1.2</v>
      </c>
      <c r="F824" s="22"/>
      <c r="G824" s="21" t="str">
        <f>Source!DI659</f>
        <v/>
      </c>
      <c r="H824" s="9">
        <f>Source!AV659</f>
        <v>1</v>
      </c>
      <c r="I824" s="9"/>
      <c r="J824" s="22"/>
      <c r="K824" s="22">
        <f>Source!U659</f>
        <v>96</v>
      </c>
    </row>
    <row r="825" spans="1:22" ht="15" x14ac:dyDescent="0.25">
      <c r="A825" s="25"/>
      <c r="B825" s="25"/>
      <c r="C825" s="25"/>
      <c r="D825" s="25"/>
      <c r="E825" s="25"/>
      <c r="F825" s="25"/>
      <c r="G825" s="25"/>
      <c r="H825" s="25"/>
      <c r="I825" s="52">
        <f>J820+J821+J822+J823</f>
        <v>106838.56</v>
      </c>
      <c r="J825" s="52"/>
      <c r="K825" s="26">
        <f>IF(Source!I659&lt;&gt;0, ROUND(I825/Source!I659, 2), 0)</f>
        <v>1335.48</v>
      </c>
      <c r="P825" s="24">
        <f>I825</f>
        <v>106838.56</v>
      </c>
    </row>
    <row r="826" spans="1:22" ht="71.25" x14ac:dyDescent="0.2">
      <c r="A826" s="19">
        <v>81</v>
      </c>
      <c r="B826" s="19" t="str">
        <f>Source!F660</f>
        <v>1.21-2303-28-1/1</v>
      </c>
      <c r="C826" s="19" t="str">
        <f>Source!G660</f>
        <v>Техническое обслуживание автоматического выключателя до 160 А / Дифференциальный автоматический выключатель, Iн=16А, Iдиф=30мА</v>
      </c>
      <c r="D826" s="20" t="str">
        <f>Source!H660</f>
        <v>шт.</v>
      </c>
      <c r="E826" s="9">
        <f>Source!I660</f>
        <v>20</v>
      </c>
      <c r="F826" s="22"/>
      <c r="G826" s="21"/>
      <c r="H826" s="9"/>
      <c r="I826" s="9"/>
      <c r="J826" s="22"/>
      <c r="K826" s="22"/>
      <c r="Q826">
        <f>ROUND((Source!BZ660/100)*ROUND((Source!AF660*Source!AV660)*Source!I660, 2), 2)</f>
        <v>5961.2</v>
      </c>
      <c r="R826">
        <f>Source!X660</f>
        <v>5961.2</v>
      </c>
      <c r="S826">
        <f>ROUND((Source!CA660/100)*ROUND((Source!AF660*Source!AV660)*Source!I660, 2), 2)</f>
        <v>851.6</v>
      </c>
      <c r="T826">
        <f>Source!Y660</f>
        <v>851.6</v>
      </c>
      <c r="U826">
        <f>ROUND((175/100)*ROUND((Source!AE660*Source!AV660)*Source!I660, 2), 2)</f>
        <v>0</v>
      </c>
      <c r="V826">
        <f>ROUND((108/100)*ROUND(Source!CS660*Source!I660, 2), 2)</f>
        <v>0</v>
      </c>
    </row>
    <row r="827" spans="1:22" x14ac:dyDescent="0.2">
      <c r="C827" s="23" t="str">
        <f>"Объем: "&amp;Source!I660&amp;"=2*"&amp;"10"</f>
        <v>Объем: 20=2*10</v>
      </c>
    </row>
    <row r="828" spans="1:22" ht="14.25" x14ac:dyDescent="0.2">
      <c r="A828" s="19"/>
      <c r="B828" s="19"/>
      <c r="C828" s="19" t="s">
        <v>500</v>
      </c>
      <c r="D828" s="20"/>
      <c r="E828" s="9"/>
      <c r="F828" s="22">
        <f>Source!AO660</f>
        <v>212.9</v>
      </c>
      <c r="G828" s="21" t="str">
        <f>Source!DG660</f>
        <v>)*2</v>
      </c>
      <c r="H828" s="9">
        <f>Source!AV660</f>
        <v>1</v>
      </c>
      <c r="I828" s="9">
        <f>IF(Source!BA660&lt;&gt; 0, Source!BA660, 1)</f>
        <v>1</v>
      </c>
      <c r="J828" s="22">
        <f>Source!S660</f>
        <v>8516</v>
      </c>
      <c r="K828" s="22"/>
    </row>
    <row r="829" spans="1:22" ht="14.25" x14ac:dyDescent="0.2">
      <c r="A829" s="19"/>
      <c r="B829" s="19"/>
      <c r="C829" s="19" t="s">
        <v>508</v>
      </c>
      <c r="D829" s="20"/>
      <c r="E829" s="9"/>
      <c r="F829" s="22">
        <f>Source!AL660</f>
        <v>4.53</v>
      </c>
      <c r="G829" s="21" t="str">
        <f>Source!DD660</f>
        <v>)*2</v>
      </c>
      <c r="H829" s="9">
        <f>Source!AW660</f>
        <v>1</v>
      </c>
      <c r="I829" s="9">
        <f>IF(Source!BC660&lt;&gt; 0, Source!BC660, 1)</f>
        <v>1</v>
      </c>
      <c r="J829" s="22">
        <f>Source!P660</f>
        <v>181.2</v>
      </c>
      <c r="K829" s="22"/>
    </row>
    <row r="830" spans="1:22" ht="14.25" x14ac:dyDescent="0.2">
      <c r="A830" s="19"/>
      <c r="B830" s="19"/>
      <c r="C830" s="19" t="s">
        <v>501</v>
      </c>
      <c r="D830" s="20" t="s">
        <v>502</v>
      </c>
      <c r="E830" s="9">
        <f>Source!AT660</f>
        <v>70</v>
      </c>
      <c r="F830" s="22"/>
      <c r="G830" s="21"/>
      <c r="H830" s="9"/>
      <c r="I830" s="9"/>
      <c r="J830" s="22">
        <f>SUM(R826:R829)</f>
        <v>5961.2</v>
      </c>
      <c r="K830" s="22"/>
    </row>
    <row r="831" spans="1:22" ht="14.25" x14ac:dyDescent="0.2">
      <c r="A831" s="19"/>
      <c r="B831" s="19"/>
      <c r="C831" s="19" t="s">
        <v>503</v>
      </c>
      <c r="D831" s="20" t="s">
        <v>502</v>
      </c>
      <c r="E831" s="9">
        <f>Source!AU660</f>
        <v>10</v>
      </c>
      <c r="F831" s="22"/>
      <c r="G831" s="21"/>
      <c r="H831" s="9"/>
      <c r="I831" s="9"/>
      <c r="J831" s="22">
        <f>SUM(T826:T830)</f>
        <v>851.6</v>
      </c>
      <c r="K831" s="22"/>
    </row>
    <row r="832" spans="1:22" ht="14.25" x14ac:dyDescent="0.2">
      <c r="A832" s="19"/>
      <c r="B832" s="19"/>
      <c r="C832" s="19" t="s">
        <v>504</v>
      </c>
      <c r="D832" s="20" t="s">
        <v>505</v>
      </c>
      <c r="E832" s="9">
        <f>Source!AQ660</f>
        <v>0.3</v>
      </c>
      <c r="F832" s="22"/>
      <c r="G832" s="21" t="str">
        <f>Source!DI660</f>
        <v>)*2</v>
      </c>
      <c r="H832" s="9">
        <f>Source!AV660</f>
        <v>1</v>
      </c>
      <c r="I832" s="9"/>
      <c r="J832" s="22"/>
      <c r="K832" s="22">
        <f>Source!U660</f>
        <v>12</v>
      </c>
    </row>
    <row r="833" spans="1:22" ht="15" x14ac:dyDescent="0.25">
      <c r="A833" s="25"/>
      <c r="B833" s="25"/>
      <c r="C833" s="25"/>
      <c r="D833" s="25"/>
      <c r="E833" s="25"/>
      <c r="F833" s="25"/>
      <c r="G833" s="25"/>
      <c r="H833" s="25"/>
      <c r="I833" s="52">
        <f>J828+J829+J830+J831</f>
        <v>15510.000000000002</v>
      </c>
      <c r="J833" s="52"/>
      <c r="K833" s="26">
        <f>IF(Source!I660&lt;&gt;0, ROUND(I833/Source!I660, 2), 0)</f>
        <v>775.5</v>
      </c>
      <c r="P833" s="24">
        <f>I833</f>
        <v>15510.000000000002</v>
      </c>
    </row>
    <row r="835" spans="1:22" ht="15" customHeight="1" x14ac:dyDescent="0.25">
      <c r="B835" s="55" t="str">
        <f>Source!G661</f>
        <v>Светильники</v>
      </c>
      <c r="C835" s="55"/>
      <c r="D835" s="55"/>
      <c r="E835" s="55"/>
      <c r="F835" s="55"/>
      <c r="G835" s="55"/>
      <c r="H835" s="55"/>
      <c r="I835" s="55"/>
      <c r="J835" s="55"/>
    </row>
    <row r="836" spans="1:22" ht="93.75" x14ac:dyDescent="0.2">
      <c r="A836" s="19">
        <v>82</v>
      </c>
      <c r="B836" s="19" t="s">
        <v>510</v>
      </c>
      <c r="C836" s="19" t="s">
        <v>514</v>
      </c>
      <c r="D836" s="20" t="str">
        <f>Source!H662</f>
        <v>шт.</v>
      </c>
      <c r="E836" s="9">
        <f>Source!I662</f>
        <v>80</v>
      </c>
      <c r="F836" s="22"/>
      <c r="G836" s="21"/>
      <c r="H836" s="9"/>
      <c r="I836" s="9"/>
      <c r="J836" s="22"/>
      <c r="K836" s="22"/>
      <c r="Q836">
        <f>ROUND((Source!BZ662/100)*ROUND((Source!AF662*Source!AV662)*Source!I662, 2), 2)</f>
        <v>13096.43</v>
      </c>
      <c r="R836">
        <f>Source!X662</f>
        <v>13096.43</v>
      </c>
      <c r="S836">
        <f>ROUND((Source!CA662/100)*ROUND((Source!AF662*Source!AV662)*Source!I662, 2), 2)</f>
        <v>1870.92</v>
      </c>
      <c r="T836">
        <f>Source!Y662</f>
        <v>1870.92</v>
      </c>
      <c r="U836">
        <f>ROUND((175/100)*ROUND((Source!AE662*Source!AV662)*Source!I662, 2), 2)</f>
        <v>0</v>
      </c>
      <c r="V836">
        <f>ROUND((108/100)*ROUND(Source!CS662*Source!I662, 2), 2)</f>
        <v>0</v>
      </c>
    </row>
    <row r="837" spans="1:22" x14ac:dyDescent="0.2">
      <c r="C837" s="23" t="str">
        <f>"Объем: "&amp;Source!I662&amp;"=8*"&amp;"10"</f>
        <v>Объем: 80=8*10</v>
      </c>
    </row>
    <row r="838" spans="1:22" ht="14.25" x14ac:dyDescent="0.2">
      <c r="A838" s="19"/>
      <c r="B838" s="19"/>
      <c r="C838" s="19" t="s">
        <v>500</v>
      </c>
      <c r="D838" s="20"/>
      <c r="E838" s="9"/>
      <c r="F838" s="22">
        <f>Source!AO662</f>
        <v>224.87</v>
      </c>
      <c r="G838" s="21" t="str">
        <f>Source!DG662</f>
        <v>)*1,04</v>
      </c>
      <c r="H838" s="9">
        <f>Source!AV662</f>
        <v>1</v>
      </c>
      <c r="I838" s="9">
        <f>IF(Source!BA662&lt;&gt; 0, Source!BA662, 1)</f>
        <v>1</v>
      </c>
      <c r="J838" s="22">
        <f>Source!S662</f>
        <v>18709.18</v>
      </c>
      <c r="K838" s="22"/>
    </row>
    <row r="839" spans="1:22" ht="14.25" x14ac:dyDescent="0.2">
      <c r="A839" s="19"/>
      <c r="B839" s="19"/>
      <c r="C839" s="19" t="s">
        <v>508</v>
      </c>
      <c r="D839" s="20"/>
      <c r="E839" s="9"/>
      <c r="F839" s="22">
        <f>Source!AL662</f>
        <v>1.26</v>
      </c>
      <c r="G839" s="21" t="str">
        <f>Source!DD662</f>
        <v/>
      </c>
      <c r="H839" s="9">
        <f>Source!AW662</f>
        <v>1</v>
      </c>
      <c r="I839" s="9">
        <f>IF(Source!BC662&lt;&gt; 0, Source!BC662, 1)</f>
        <v>1</v>
      </c>
      <c r="J839" s="22">
        <f>Source!P662</f>
        <v>100.8</v>
      </c>
      <c r="K839" s="22"/>
    </row>
    <row r="840" spans="1:22" ht="14.25" x14ac:dyDescent="0.2">
      <c r="A840" s="19"/>
      <c r="B840" s="19"/>
      <c r="C840" s="19" t="s">
        <v>501</v>
      </c>
      <c r="D840" s="20" t="s">
        <v>502</v>
      </c>
      <c r="E840" s="9">
        <f>Source!AT662</f>
        <v>70</v>
      </c>
      <c r="F840" s="22"/>
      <c r="G840" s="21"/>
      <c r="H840" s="9"/>
      <c r="I840" s="9"/>
      <c r="J840" s="22">
        <f>SUM(R836:R839)</f>
        <v>13096.43</v>
      </c>
      <c r="K840" s="22"/>
    </row>
    <row r="841" spans="1:22" ht="14.25" x14ac:dyDescent="0.2">
      <c r="A841" s="19"/>
      <c r="B841" s="19"/>
      <c r="C841" s="19" t="s">
        <v>503</v>
      </c>
      <c r="D841" s="20" t="s">
        <v>502</v>
      </c>
      <c r="E841" s="9">
        <f>Source!AU662</f>
        <v>10</v>
      </c>
      <c r="F841" s="22"/>
      <c r="G841" s="21"/>
      <c r="H841" s="9"/>
      <c r="I841" s="9"/>
      <c r="J841" s="22">
        <f>SUM(T836:T840)</f>
        <v>1870.92</v>
      </c>
      <c r="K841" s="22"/>
    </row>
    <row r="842" spans="1:22" ht="14.25" x14ac:dyDescent="0.2">
      <c r="A842" s="19"/>
      <c r="B842" s="19"/>
      <c r="C842" s="19" t="s">
        <v>504</v>
      </c>
      <c r="D842" s="20" t="s">
        <v>505</v>
      </c>
      <c r="E842" s="9">
        <f>Source!AQ662</f>
        <v>0.4</v>
      </c>
      <c r="F842" s="22"/>
      <c r="G842" s="21" t="str">
        <f>Source!DI662</f>
        <v>)*1,04</v>
      </c>
      <c r="H842" s="9">
        <f>Source!AV662</f>
        <v>1</v>
      </c>
      <c r="I842" s="9"/>
      <c r="J842" s="22"/>
      <c r="K842" s="22">
        <f>Source!U662</f>
        <v>33.28</v>
      </c>
    </row>
    <row r="843" spans="1:22" ht="15" x14ac:dyDescent="0.25">
      <c r="A843" s="25"/>
      <c r="B843" s="25"/>
      <c r="C843" s="25"/>
      <c r="D843" s="25"/>
      <c r="E843" s="25"/>
      <c r="F843" s="25"/>
      <c r="G843" s="25"/>
      <c r="H843" s="25"/>
      <c r="I843" s="52">
        <f>J838+J839+J840+J841</f>
        <v>33777.33</v>
      </c>
      <c r="J843" s="52"/>
      <c r="K843" s="26">
        <f>IF(Source!I662&lt;&gt;0, ROUND(I843/Source!I662, 2), 0)</f>
        <v>422.22</v>
      </c>
      <c r="P843" s="24">
        <f>I843</f>
        <v>33777.33</v>
      </c>
    </row>
    <row r="844" spans="1:22" ht="165" x14ac:dyDescent="0.2">
      <c r="A844" s="19">
        <v>83</v>
      </c>
      <c r="B844" s="19" t="s">
        <v>515</v>
      </c>
      <c r="C844" s="19" t="s">
        <v>516</v>
      </c>
      <c r="D844" s="20" t="str">
        <f>Source!H663</f>
        <v>шт.</v>
      </c>
      <c r="E844" s="9">
        <f>Source!I663</f>
        <v>90</v>
      </c>
      <c r="F844" s="22"/>
      <c r="G844" s="21"/>
      <c r="H844" s="9"/>
      <c r="I844" s="9"/>
      <c r="J844" s="22"/>
      <c r="K844" s="22"/>
      <c r="Q844">
        <f>ROUND((Source!BZ663/100)*ROUND((Source!AF663*Source!AV663)*Source!I663, 2), 2)</f>
        <v>6629.97</v>
      </c>
      <c r="R844">
        <f>Source!X663</f>
        <v>6629.97</v>
      </c>
      <c r="S844">
        <f>ROUND((Source!CA663/100)*ROUND((Source!AF663*Source!AV663)*Source!I663, 2), 2)</f>
        <v>947.14</v>
      </c>
      <c r="T844">
        <f>Source!Y663</f>
        <v>947.14</v>
      </c>
      <c r="U844">
        <f>ROUND((175/100)*ROUND((Source!AE663*Source!AV663)*Source!I663, 2), 2)</f>
        <v>0</v>
      </c>
      <c r="V844">
        <f>ROUND((108/100)*ROUND(Source!CS663*Source!I663, 2), 2)</f>
        <v>0</v>
      </c>
    </row>
    <row r="845" spans="1:22" x14ac:dyDescent="0.2">
      <c r="C845" s="23" t="str">
        <f>"Объем: "&amp;Source!I663&amp;"=9*"&amp;"10"</f>
        <v>Объем: 90=9*10</v>
      </c>
    </row>
    <row r="846" spans="1:22" ht="14.25" x14ac:dyDescent="0.2">
      <c r="A846" s="19"/>
      <c r="B846" s="19"/>
      <c r="C846" s="19" t="s">
        <v>500</v>
      </c>
      <c r="D846" s="20"/>
      <c r="E846" s="9"/>
      <c r="F846" s="22">
        <f>Source!AO663</f>
        <v>101.19</v>
      </c>
      <c r="G846" s="21" t="str">
        <f>Source!DG663</f>
        <v>)*1,04</v>
      </c>
      <c r="H846" s="9">
        <f>Source!AV663</f>
        <v>1</v>
      </c>
      <c r="I846" s="9">
        <f>IF(Source!BA663&lt;&gt; 0, Source!BA663, 1)</f>
        <v>1</v>
      </c>
      <c r="J846" s="22">
        <f>Source!S663</f>
        <v>9471.3799999999992</v>
      </c>
      <c r="K846" s="22"/>
    </row>
    <row r="847" spans="1:22" ht="14.25" x14ac:dyDescent="0.2">
      <c r="A847" s="19"/>
      <c r="B847" s="19"/>
      <c r="C847" s="19" t="s">
        <v>508</v>
      </c>
      <c r="D847" s="20"/>
      <c r="E847" s="9"/>
      <c r="F847" s="22">
        <f>Source!AL663</f>
        <v>1.26</v>
      </c>
      <c r="G847" s="21" t="str">
        <f>Source!DD663</f>
        <v/>
      </c>
      <c r="H847" s="9">
        <f>Source!AW663</f>
        <v>1</v>
      </c>
      <c r="I847" s="9">
        <f>IF(Source!BC663&lt;&gt; 0, Source!BC663, 1)</f>
        <v>1</v>
      </c>
      <c r="J847" s="22">
        <f>Source!P663</f>
        <v>113.4</v>
      </c>
      <c r="K847" s="22"/>
    </row>
    <row r="848" spans="1:22" ht="14.25" x14ac:dyDescent="0.2">
      <c r="A848" s="19"/>
      <c r="B848" s="19"/>
      <c r="C848" s="19" t="s">
        <v>501</v>
      </c>
      <c r="D848" s="20" t="s">
        <v>502</v>
      </c>
      <c r="E848" s="9">
        <f>Source!AT663</f>
        <v>70</v>
      </c>
      <c r="F848" s="22"/>
      <c r="G848" s="21"/>
      <c r="H848" s="9"/>
      <c r="I848" s="9"/>
      <c r="J848" s="22">
        <f>SUM(R844:R847)</f>
        <v>6629.97</v>
      </c>
      <c r="K848" s="22"/>
    </row>
    <row r="849" spans="1:22" ht="14.25" x14ac:dyDescent="0.2">
      <c r="A849" s="19"/>
      <c r="B849" s="19"/>
      <c r="C849" s="19" t="s">
        <v>503</v>
      </c>
      <c r="D849" s="20" t="s">
        <v>502</v>
      </c>
      <c r="E849" s="9">
        <f>Source!AU663</f>
        <v>10</v>
      </c>
      <c r="F849" s="22"/>
      <c r="G849" s="21"/>
      <c r="H849" s="9"/>
      <c r="I849" s="9"/>
      <c r="J849" s="22">
        <f>SUM(T844:T848)</f>
        <v>947.14</v>
      </c>
      <c r="K849" s="22"/>
    </row>
    <row r="850" spans="1:22" ht="14.25" x14ac:dyDescent="0.2">
      <c r="A850" s="19"/>
      <c r="B850" s="19"/>
      <c r="C850" s="19" t="s">
        <v>504</v>
      </c>
      <c r="D850" s="20" t="s">
        <v>505</v>
      </c>
      <c r="E850" s="9">
        <f>Source!AQ663</f>
        <v>0.18</v>
      </c>
      <c r="F850" s="22"/>
      <c r="G850" s="21" t="str">
        <f>Source!DI663</f>
        <v>)*1,04</v>
      </c>
      <c r="H850" s="9">
        <f>Source!AV663</f>
        <v>1</v>
      </c>
      <c r="I850" s="9"/>
      <c r="J850" s="22"/>
      <c r="K850" s="22">
        <f>Source!U663</f>
        <v>16.847999999999999</v>
      </c>
    </row>
    <row r="851" spans="1:22" ht="15" x14ac:dyDescent="0.25">
      <c r="A851" s="25"/>
      <c r="B851" s="25"/>
      <c r="C851" s="25"/>
      <c r="D851" s="25"/>
      <c r="E851" s="25"/>
      <c r="F851" s="25"/>
      <c r="G851" s="25"/>
      <c r="H851" s="25"/>
      <c r="I851" s="52">
        <f>J846+J847+J848+J849</f>
        <v>17161.89</v>
      </c>
      <c r="J851" s="52"/>
      <c r="K851" s="26">
        <f>IF(Source!I663&lt;&gt;0, ROUND(I851/Source!I663, 2), 0)</f>
        <v>190.69</v>
      </c>
      <c r="P851" s="24">
        <f>I851</f>
        <v>17161.89</v>
      </c>
    </row>
    <row r="852" spans="1:22" ht="179.25" x14ac:dyDescent="0.2">
      <c r="A852" s="19">
        <v>84</v>
      </c>
      <c r="B852" s="19" t="s">
        <v>512</v>
      </c>
      <c r="C852" s="19" t="s">
        <v>517</v>
      </c>
      <c r="D852" s="20" t="str">
        <f>Source!H664</f>
        <v>шт.</v>
      </c>
      <c r="E852" s="9">
        <f>Source!I664</f>
        <v>40</v>
      </c>
      <c r="F852" s="22"/>
      <c r="G852" s="21"/>
      <c r="H852" s="9"/>
      <c r="I852" s="9"/>
      <c r="J852" s="22"/>
      <c r="K852" s="22"/>
      <c r="Q852">
        <f>ROUND((Source!BZ664/100)*ROUND((Source!AF664*Source!AV664)*Source!I664, 2), 2)</f>
        <v>4911.09</v>
      </c>
      <c r="R852">
        <f>Source!X664</f>
        <v>4911.09</v>
      </c>
      <c r="S852">
        <f>ROUND((Source!CA664/100)*ROUND((Source!AF664*Source!AV664)*Source!I664, 2), 2)</f>
        <v>701.58</v>
      </c>
      <c r="T852">
        <f>Source!Y664</f>
        <v>701.58</v>
      </c>
      <c r="U852">
        <f>ROUND((175/100)*ROUND((Source!AE664*Source!AV664)*Source!I664, 2), 2)</f>
        <v>0</v>
      </c>
      <c r="V852">
        <f>ROUND((108/100)*ROUND(Source!CS664*Source!I664, 2), 2)</f>
        <v>0</v>
      </c>
    </row>
    <row r="853" spans="1:22" x14ac:dyDescent="0.2">
      <c r="C853" s="23" t="str">
        <f>"Объем: "&amp;Source!I664&amp;"=4*"&amp;"10"</f>
        <v>Объем: 40=4*10</v>
      </c>
    </row>
    <row r="854" spans="1:22" ht="14.25" x14ac:dyDescent="0.2">
      <c r="A854" s="19"/>
      <c r="B854" s="19"/>
      <c r="C854" s="19" t="s">
        <v>500</v>
      </c>
      <c r="D854" s="20"/>
      <c r="E854" s="9"/>
      <c r="F854" s="22">
        <f>Source!AO664</f>
        <v>168.65</v>
      </c>
      <c r="G854" s="21" t="str">
        <f>Source!DG664</f>
        <v>)*1,04</v>
      </c>
      <c r="H854" s="9">
        <f>Source!AV664</f>
        <v>1</v>
      </c>
      <c r="I854" s="9">
        <f>IF(Source!BA664&lt;&gt; 0, Source!BA664, 1)</f>
        <v>1</v>
      </c>
      <c r="J854" s="22">
        <f>Source!S664</f>
        <v>7015.84</v>
      </c>
      <c r="K854" s="22"/>
    </row>
    <row r="855" spans="1:22" ht="14.25" x14ac:dyDescent="0.2">
      <c r="A855" s="19"/>
      <c r="B855" s="19"/>
      <c r="C855" s="19" t="s">
        <v>508</v>
      </c>
      <c r="D855" s="20"/>
      <c r="E855" s="9"/>
      <c r="F855" s="22">
        <f>Source!AL664</f>
        <v>0.63</v>
      </c>
      <c r="G855" s="21" t="str">
        <f>Source!DD664</f>
        <v/>
      </c>
      <c r="H855" s="9">
        <f>Source!AW664</f>
        <v>1</v>
      </c>
      <c r="I855" s="9">
        <f>IF(Source!BC664&lt;&gt; 0, Source!BC664, 1)</f>
        <v>1</v>
      </c>
      <c r="J855" s="22">
        <f>Source!P664</f>
        <v>25.2</v>
      </c>
      <c r="K855" s="22"/>
    </row>
    <row r="856" spans="1:22" ht="14.25" x14ac:dyDescent="0.2">
      <c r="A856" s="19"/>
      <c r="B856" s="19"/>
      <c r="C856" s="19" t="s">
        <v>501</v>
      </c>
      <c r="D856" s="20" t="s">
        <v>502</v>
      </c>
      <c r="E856" s="9">
        <f>Source!AT664</f>
        <v>70</v>
      </c>
      <c r="F856" s="22"/>
      <c r="G856" s="21"/>
      <c r="H856" s="9"/>
      <c r="I856" s="9"/>
      <c r="J856" s="22">
        <f>SUM(R852:R855)</f>
        <v>4911.09</v>
      </c>
      <c r="K856" s="22"/>
    </row>
    <row r="857" spans="1:22" ht="14.25" x14ac:dyDescent="0.2">
      <c r="A857" s="19"/>
      <c r="B857" s="19"/>
      <c r="C857" s="19" t="s">
        <v>503</v>
      </c>
      <c r="D857" s="20" t="s">
        <v>502</v>
      </c>
      <c r="E857" s="9">
        <f>Source!AU664</f>
        <v>10</v>
      </c>
      <c r="F857" s="22"/>
      <c r="G857" s="21"/>
      <c r="H857" s="9"/>
      <c r="I857" s="9"/>
      <c r="J857" s="22">
        <f>SUM(T852:T856)</f>
        <v>701.58</v>
      </c>
      <c r="K857" s="22"/>
    </row>
    <row r="858" spans="1:22" ht="14.25" x14ac:dyDescent="0.2">
      <c r="A858" s="19"/>
      <c r="B858" s="19"/>
      <c r="C858" s="19" t="s">
        <v>504</v>
      </c>
      <c r="D858" s="20" t="s">
        <v>505</v>
      </c>
      <c r="E858" s="9">
        <f>Source!AQ664</f>
        <v>0.3</v>
      </c>
      <c r="F858" s="22"/>
      <c r="G858" s="21" t="str">
        <f>Source!DI664</f>
        <v>)*1,04</v>
      </c>
      <c r="H858" s="9">
        <f>Source!AV664</f>
        <v>1</v>
      </c>
      <c r="I858" s="9"/>
      <c r="J858" s="22"/>
      <c r="K858" s="22">
        <f>Source!U664</f>
        <v>12.48</v>
      </c>
    </row>
    <row r="859" spans="1:22" ht="15" x14ac:dyDescent="0.25">
      <c r="A859" s="25"/>
      <c r="B859" s="25"/>
      <c r="C859" s="25"/>
      <c r="D859" s="25"/>
      <c r="E859" s="25"/>
      <c r="F859" s="25"/>
      <c r="G859" s="25"/>
      <c r="H859" s="25"/>
      <c r="I859" s="52">
        <f>J854+J855+J856+J857</f>
        <v>12653.710000000001</v>
      </c>
      <c r="J859" s="52"/>
      <c r="K859" s="26">
        <f>IF(Source!I664&lt;&gt;0, ROUND(I859/Source!I664, 2), 0)</f>
        <v>316.33999999999997</v>
      </c>
      <c r="P859" s="24">
        <f>I859</f>
        <v>12653.710000000001</v>
      </c>
    </row>
    <row r="861" spans="1:22" ht="15" customHeight="1" x14ac:dyDescent="0.25">
      <c r="B861" s="55" t="str">
        <f>Source!G665</f>
        <v>Электроустановочные изделия</v>
      </c>
      <c r="C861" s="55"/>
      <c r="D861" s="55"/>
      <c r="E861" s="55"/>
      <c r="F861" s="55"/>
      <c r="G861" s="55"/>
      <c r="H861" s="55"/>
      <c r="I861" s="55"/>
      <c r="J861" s="55"/>
    </row>
    <row r="862" spans="1:22" ht="57" x14ac:dyDescent="0.2">
      <c r="A862" s="19">
        <v>85</v>
      </c>
      <c r="B862" s="19" t="str">
        <f>Source!F666</f>
        <v>1.23-2103-6-1/1</v>
      </c>
      <c r="C862" s="19" t="str">
        <f>Source!G666</f>
        <v>Техническое обслуживание выключателей поплавковых / Выключатель одноклавишный Ном. ток 10 А. Ном. напр.: 250 В.</v>
      </c>
      <c r="D862" s="20" t="str">
        <f>Source!H666</f>
        <v>100 шт.</v>
      </c>
      <c r="E862" s="9">
        <f>Source!I666</f>
        <v>1.6</v>
      </c>
      <c r="F862" s="22"/>
      <c r="G862" s="21"/>
      <c r="H862" s="9"/>
      <c r="I862" s="9"/>
      <c r="J862" s="22"/>
      <c r="K862" s="22"/>
      <c r="Q862">
        <f>ROUND((Source!BZ666/100)*ROUND((Source!AF666*Source!AV666)*Source!I666, 2), 2)</f>
        <v>14389.27</v>
      </c>
      <c r="R862">
        <f>Source!X666</f>
        <v>14389.27</v>
      </c>
      <c r="S862">
        <f>ROUND((Source!CA666/100)*ROUND((Source!AF666*Source!AV666)*Source!I666, 2), 2)</f>
        <v>2055.61</v>
      </c>
      <c r="T862">
        <f>Source!Y666</f>
        <v>2055.61</v>
      </c>
      <c r="U862">
        <f>ROUND((175/100)*ROUND((Source!AE666*Source!AV666)*Source!I666, 2), 2)</f>
        <v>6477.42</v>
      </c>
      <c r="V862">
        <f>ROUND((108/100)*ROUND(Source!CS666*Source!I666, 2), 2)</f>
        <v>3997.49</v>
      </c>
    </row>
    <row r="863" spans="1:22" x14ac:dyDescent="0.2">
      <c r="C863" s="23" t="str">
        <f>"Объем: "&amp;Source!I666&amp;"=(10+"&amp;"6)*"&amp;"10/"&amp;"100"</f>
        <v>Объем: 1,6=(10+6)*10/100</v>
      </c>
    </row>
    <row r="864" spans="1:22" ht="14.25" x14ac:dyDescent="0.2">
      <c r="A864" s="19"/>
      <c r="B864" s="19"/>
      <c r="C864" s="19" t="s">
        <v>500</v>
      </c>
      <c r="D864" s="20"/>
      <c r="E864" s="9"/>
      <c r="F864" s="22">
        <f>Source!AO666</f>
        <v>3211.89</v>
      </c>
      <c r="G864" s="21" t="str">
        <f>Source!DG666</f>
        <v>)*4</v>
      </c>
      <c r="H864" s="9">
        <f>Source!AV666</f>
        <v>1</v>
      </c>
      <c r="I864" s="9">
        <f>IF(Source!BA666&lt;&gt; 0, Source!BA666, 1)</f>
        <v>1</v>
      </c>
      <c r="J864" s="22">
        <f>Source!S666</f>
        <v>20556.099999999999</v>
      </c>
      <c r="K864" s="22"/>
    </row>
    <row r="865" spans="1:22" ht="14.25" x14ac:dyDescent="0.2">
      <c r="A865" s="19"/>
      <c r="B865" s="19"/>
      <c r="C865" s="19" t="s">
        <v>506</v>
      </c>
      <c r="D865" s="20"/>
      <c r="E865" s="9"/>
      <c r="F865" s="22">
        <f>Source!AM666</f>
        <v>912.11</v>
      </c>
      <c r="G865" s="21" t="str">
        <f>Source!DE666</f>
        <v>)*4</v>
      </c>
      <c r="H865" s="9">
        <f>Source!AV666</f>
        <v>1</v>
      </c>
      <c r="I865" s="9">
        <f>IF(Source!BB666&lt;&gt; 0, Source!BB666, 1)</f>
        <v>1</v>
      </c>
      <c r="J865" s="22">
        <f>Source!Q666</f>
        <v>5837.5</v>
      </c>
      <c r="K865" s="22"/>
    </row>
    <row r="866" spans="1:22" ht="14.25" x14ac:dyDescent="0.2">
      <c r="A866" s="19"/>
      <c r="B866" s="19"/>
      <c r="C866" s="19" t="s">
        <v>507</v>
      </c>
      <c r="D866" s="20"/>
      <c r="E866" s="9"/>
      <c r="F866" s="22">
        <f>Source!AN666</f>
        <v>578.34</v>
      </c>
      <c r="G866" s="21" t="str">
        <f>Source!DF666</f>
        <v>)*4</v>
      </c>
      <c r="H866" s="9">
        <f>Source!AV666</f>
        <v>1</v>
      </c>
      <c r="I866" s="9">
        <f>IF(Source!BS666&lt;&gt; 0, Source!BS666, 1)</f>
        <v>1</v>
      </c>
      <c r="J866" s="27">
        <f>Source!R666</f>
        <v>3701.38</v>
      </c>
      <c r="K866" s="22"/>
    </row>
    <row r="867" spans="1:22" ht="14.25" x14ac:dyDescent="0.2">
      <c r="A867" s="19"/>
      <c r="B867" s="19"/>
      <c r="C867" s="19" t="s">
        <v>508</v>
      </c>
      <c r="D867" s="20"/>
      <c r="E867" s="9"/>
      <c r="F867" s="22">
        <f>Source!AL666</f>
        <v>0.94</v>
      </c>
      <c r="G867" s="21" t="str">
        <f>Source!DD666</f>
        <v>)*4</v>
      </c>
      <c r="H867" s="9">
        <f>Source!AW666</f>
        <v>1</v>
      </c>
      <c r="I867" s="9">
        <f>IF(Source!BC666&lt;&gt; 0, Source!BC666, 1)</f>
        <v>1</v>
      </c>
      <c r="J867" s="22">
        <f>Source!P666</f>
        <v>6.02</v>
      </c>
      <c r="K867" s="22"/>
    </row>
    <row r="868" spans="1:22" ht="14.25" x14ac:dyDescent="0.2">
      <c r="A868" s="19"/>
      <c r="B868" s="19"/>
      <c r="C868" s="19" t="s">
        <v>501</v>
      </c>
      <c r="D868" s="20" t="s">
        <v>502</v>
      </c>
      <c r="E868" s="9">
        <f>Source!AT666</f>
        <v>70</v>
      </c>
      <c r="F868" s="22"/>
      <c r="G868" s="21"/>
      <c r="H868" s="9"/>
      <c r="I868" s="9"/>
      <c r="J868" s="22">
        <f>SUM(R862:R867)</f>
        <v>14389.27</v>
      </c>
      <c r="K868" s="22"/>
    </row>
    <row r="869" spans="1:22" ht="14.25" x14ac:dyDescent="0.2">
      <c r="A869" s="19"/>
      <c r="B869" s="19"/>
      <c r="C869" s="19" t="s">
        <v>503</v>
      </c>
      <c r="D869" s="20" t="s">
        <v>502</v>
      </c>
      <c r="E869" s="9">
        <f>Source!AU666</f>
        <v>10</v>
      </c>
      <c r="F869" s="22"/>
      <c r="G869" s="21"/>
      <c r="H869" s="9"/>
      <c r="I869" s="9"/>
      <c r="J869" s="22">
        <f>SUM(T862:T868)</f>
        <v>2055.61</v>
      </c>
      <c r="K869" s="22"/>
    </row>
    <row r="870" spans="1:22" ht="14.25" x14ac:dyDescent="0.2">
      <c r="A870" s="19"/>
      <c r="B870" s="19"/>
      <c r="C870" s="19" t="s">
        <v>509</v>
      </c>
      <c r="D870" s="20" t="s">
        <v>502</v>
      </c>
      <c r="E870" s="9">
        <f>108</f>
        <v>108</v>
      </c>
      <c r="F870" s="22"/>
      <c r="G870" s="21"/>
      <c r="H870" s="9"/>
      <c r="I870" s="9"/>
      <c r="J870" s="22">
        <f>SUM(V862:V869)</f>
        <v>3997.49</v>
      </c>
      <c r="K870" s="22"/>
    </row>
    <row r="871" spans="1:22" ht="14.25" x14ac:dyDescent="0.2">
      <c r="A871" s="19"/>
      <c r="B871" s="19"/>
      <c r="C871" s="19" t="s">
        <v>504</v>
      </c>
      <c r="D871" s="20" t="s">
        <v>505</v>
      </c>
      <c r="E871" s="9">
        <f>Source!AQ666</f>
        <v>6</v>
      </c>
      <c r="F871" s="22"/>
      <c r="G871" s="21" t="str">
        <f>Source!DI666</f>
        <v>)*4</v>
      </c>
      <c r="H871" s="9">
        <f>Source!AV666</f>
        <v>1</v>
      </c>
      <c r="I871" s="9"/>
      <c r="J871" s="22"/>
      <c r="K871" s="22">
        <f>Source!U666</f>
        <v>38.400000000000006</v>
      </c>
    </row>
    <row r="872" spans="1:22" ht="15" x14ac:dyDescent="0.25">
      <c r="A872" s="25"/>
      <c r="B872" s="25"/>
      <c r="C872" s="25"/>
      <c r="D872" s="25"/>
      <c r="E872" s="25"/>
      <c r="F872" s="25"/>
      <c r="G872" s="25"/>
      <c r="H872" s="25"/>
      <c r="I872" s="52">
        <f>J864+J865+J867+J868+J869+J870</f>
        <v>46841.99</v>
      </c>
      <c r="J872" s="52"/>
      <c r="K872" s="26">
        <f>IF(Source!I666&lt;&gt;0, ROUND(I872/Source!I666, 2), 0)</f>
        <v>29276.240000000002</v>
      </c>
      <c r="P872" s="24">
        <f>I872</f>
        <v>46841.99</v>
      </c>
    </row>
    <row r="873" spans="1:22" ht="71.25" x14ac:dyDescent="0.2">
      <c r="A873" s="19">
        <v>86</v>
      </c>
      <c r="B873" s="19" t="str">
        <f>Source!F668</f>
        <v>1.21-2303-37-1/1</v>
      </c>
      <c r="C873" s="19" t="str">
        <f>Source!G668</f>
        <v>Техническое обслуживание накладной штепсельной силовой розетки с винтовыми зажимами, заземляющим контактом, степень защиты IP20, IP21, IP22 - полугодовое</v>
      </c>
      <c r="D873" s="20" t="str">
        <f>Source!H668</f>
        <v>10 шт.</v>
      </c>
      <c r="E873" s="9">
        <f>Source!I668</f>
        <v>37</v>
      </c>
      <c r="F873" s="22"/>
      <c r="G873" s="21"/>
      <c r="H873" s="9"/>
      <c r="I873" s="9"/>
      <c r="J873" s="22"/>
      <c r="K873" s="22"/>
      <c r="Q873">
        <f>ROUND((Source!BZ668/100)*ROUND((Source!AF668*Source!AV668)*Source!I668, 2), 2)</f>
        <v>2878.79</v>
      </c>
      <c r="R873">
        <f>Source!X668</f>
        <v>2878.79</v>
      </c>
      <c r="S873">
        <f>ROUND((Source!CA668/100)*ROUND((Source!AF668*Source!AV668)*Source!I668, 2), 2)</f>
        <v>411.26</v>
      </c>
      <c r="T873">
        <f>Source!Y668</f>
        <v>411.26</v>
      </c>
      <c r="U873">
        <f>ROUND((175/100)*ROUND((Source!AE668*Source!AV668)*Source!I668, 2), 2)</f>
        <v>0</v>
      </c>
      <c r="V873">
        <f>ROUND((108/100)*ROUND(Source!CS668*Source!I668, 2), 2)</f>
        <v>0</v>
      </c>
    </row>
    <row r="874" spans="1:22" x14ac:dyDescent="0.2">
      <c r="C874" s="23" t="str">
        <f>"Объем: "&amp;Source!I668&amp;"=(7+"&amp;"30)*"&amp;"10/"&amp;"10"</f>
        <v>Объем: 37=(7+30)*10/10</v>
      </c>
    </row>
    <row r="875" spans="1:22" ht="14.25" x14ac:dyDescent="0.2">
      <c r="A875" s="19"/>
      <c r="B875" s="19"/>
      <c r="C875" s="19" t="s">
        <v>500</v>
      </c>
      <c r="D875" s="20"/>
      <c r="E875" s="9"/>
      <c r="F875" s="22">
        <f>Source!AO668</f>
        <v>111.15</v>
      </c>
      <c r="G875" s="21" t="str">
        <f>Source!DG668</f>
        <v/>
      </c>
      <c r="H875" s="9">
        <f>Source!AV668</f>
        <v>1</v>
      </c>
      <c r="I875" s="9">
        <f>IF(Source!BA668&lt;&gt; 0, Source!BA668, 1)</f>
        <v>1</v>
      </c>
      <c r="J875" s="22">
        <f>Source!S668</f>
        <v>4112.55</v>
      </c>
      <c r="K875" s="22"/>
    </row>
    <row r="876" spans="1:22" ht="14.25" x14ac:dyDescent="0.2">
      <c r="A876" s="19"/>
      <c r="B876" s="19"/>
      <c r="C876" s="19" t="s">
        <v>508</v>
      </c>
      <c r="D876" s="20"/>
      <c r="E876" s="9"/>
      <c r="F876" s="22">
        <f>Source!AL668</f>
        <v>6.3</v>
      </c>
      <c r="G876" s="21" t="str">
        <f>Source!DD668</f>
        <v/>
      </c>
      <c r="H876" s="9">
        <f>Source!AW668</f>
        <v>1</v>
      </c>
      <c r="I876" s="9">
        <f>IF(Source!BC668&lt;&gt; 0, Source!BC668, 1)</f>
        <v>1</v>
      </c>
      <c r="J876" s="22">
        <f>Source!P668</f>
        <v>233.1</v>
      </c>
      <c r="K876" s="22"/>
    </row>
    <row r="877" spans="1:22" ht="14.25" x14ac:dyDescent="0.2">
      <c r="A877" s="19"/>
      <c r="B877" s="19"/>
      <c r="C877" s="19" t="s">
        <v>501</v>
      </c>
      <c r="D877" s="20" t="s">
        <v>502</v>
      </c>
      <c r="E877" s="9">
        <f>Source!AT668</f>
        <v>70</v>
      </c>
      <c r="F877" s="22"/>
      <c r="G877" s="21"/>
      <c r="H877" s="9"/>
      <c r="I877" s="9"/>
      <c r="J877" s="22">
        <f>SUM(R873:R876)</f>
        <v>2878.79</v>
      </c>
      <c r="K877" s="22"/>
    </row>
    <row r="878" spans="1:22" ht="14.25" x14ac:dyDescent="0.2">
      <c r="A878" s="19"/>
      <c r="B878" s="19"/>
      <c r="C878" s="19" t="s">
        <v>503</v>
      </c>
      <c r="D878" s="20" t="s">
        <v>502</v>
      </c>
      <c r="E878" s="9">
        <f>Source!AU668</f>
        <v>10</v>
      </c>
      <c r="F878" s="22"/>
      <c r="G878" s="21"/>
      <c r="H878" s="9"/>
      <c r="I878" s="9"/>
      <c r="J878" s="22">
        <f>SUM(T873:T877)</f>
        <v>411.26</v>
      </c>
      <c r="K878" s="22"/>
    </row>
    <row r="879" spans="1:22" ht="14.25" x14ac:dyDescent="0.2">
      <c r="A879" s="19"/>
      <c r="B879" s="19"/>
      <c r="C879" s="19" t="s">
        <v>504</v>
      </c>
      <c r="D879" s="20" t="s">
        <v>505</v>
      </c>
      <c r="E879" s="9">
        <f>Source!AQ668</f>
        <v>0.18</v>
      </c>
      <c r="F879" s="22"/>
      <c r="G879" s="21" t="str">
        <f>Source!DI668</f>
        <v/>
      </c>
      <c r="H879" s="9">
        <f>Source!AV668</f>
        <v>1</v>
      </c>
      <c r="I879" s="9"/>
      <c r="J879" s="22"/>
      <c r="K879" s="22">
        <f>Source!U668</f>
        <v>6.66</v>
      </c>
    </row>
    <row r="880" spans="1:22" ht="15" x14ac:dyDescent="0.25">
      <c r="A880" s="25"/>
      <c r="B880" s="25"/>
      <c r="C880" s="25"/>
      <c r="D880" s="25"/>
      <c r="E880" s="25"/>
      <c r="F880" s="25"/>
      <c r="G880" s="25"/>
      <c r="H880" s="25"/>
      <c r="I880" s="52">
        <f>J875+J876+J877+J878</f>
        <v>7635.7000000000007</v>
      </c>
      <c r="J880" s="52"/>
      <c r="K880" s="26">
        <f>IF(Source!I668&lt;&gt;0, ROUND(I880/Source!I668, 2), 0)</f>
        <v>206.37</v>
      </c>
      <c r="P880" s="24">
        <f>I880</f>
        <v>7635.7000000000007</v>
      </c>
    </row>
    <row r="881" spans="1:22" ht="71.25" x14ac:dyDescent="0.2">
      <c r="A881" s="19">
        <v>87</v>
      </c>
      <c r="B881" s="19" t="str">
        <f>Source!F670</f>
        <v>1.20-2103-20-1/1</v>
      </c>
      <c r="C881" s="19" t="str">
        <f>Source!G670</f>
        <v>Техническое обслуживание датчика движения инфракрасного, встраиваемого в подвесной потолок, для управления освещением - ежемесячное</v>
      </c>
      <c r="D881" s="20" t="str">
        <f>Source!H670</f>
        <v>шт.</v>
      </c>
      <c r="E881" s="9">
        <f>Source!I670</f>
        <v>10</v>
      </c>
      <c r="F881" s="22"/>
      <c r="G881" s="21"/>
      <c r="H881" s="9"/>
      <c r="I881" s="9"/>
      <c r="J881" s="22"/>
      <c r="K881" s="22"/>
      <c r="Q881">
        <f>ROUND((Source!BZ670/100)*ROUND((Source!AF670*Source!AV670)*Source!I670, 2), 2)</f>
        <v>4092.48</v>
      </c>
      <c r="R881">
        <f>Source!X670</f>
        <v>4092.48</v>
      </c>
      <c r="S881">
        <f>ROUND((Source!CA670/100)*ROUND((Source!AF670*Source!AV670)*Source!I670, 2), 2)</f>
        <v>584.64</v>
      </c>
      <c r="T881">
        <f>Source!Y670</f>
        <v>584.64</v>
      </c>
      <c r="U881">
        <f>ROUND((175/100)*ROUND((Source!AE670*Source!AV670)*Source!I670, 2), 2)</f>
        <v>0</v>
      </c>
      <c r="V881">
        <f>ROUND((108/100)*ROUND(Source!CS670*Source!I670, 2), 2)</f>
        <v>0</v>
      </c>
    </row>
    <row r="882" spans="1:22" x14ac:dyDescent="0.2">
      <c r="C882" s="23" t="str">
        <f>"Объем: "&amp;Source!I670&amp;"=1*"&amp;"10"</f>
        <v>Объем: 10=1*10</v>
      </c>
    </row>
    <row r="883" spans="1:22" ht="14.25" x14ac:dyDescent="0.2">
      <c r="A883" s="19"/>
      <c r="B883" s="19"/>
      <c r="C883" s="19" t="s">
        <v>500</v>
      </c>
      <c r="D883" s="20"/>
      <c r="E883" s="9"/>
      <c r="F883" s="22">
        <f>Source!AO670</f>
        <v>146.16</v>
      </c>
      <c r="G883" s="21" t="str">
        <f>Source!DG670</f>
        <v>)*4</v>
      </c>
      <c r="H883" s="9">
        <f>Source!AV670</f>
        <v>1</v>
      </c>
      <c r="I883" s="9">
        <f>IF(Source!BA670&lt;&gt; 0, Source!BA670, 1)</f>
        <v>1</v>
      </c>
      <c r="J883" s="22">
        <f>Source!S670</f>
        <v>5846.4</v>
      </c>
      <c r="K883" s="22"/>
    </row>
    <row r="884" spans="1:22" ht="14.25" x14ac:dyDescent="0.2">
      <c r="A884" s="19"/>
      <c r="B884" s="19"/>
      <c r="C884" s="19" t="s">
        <v>508</v>
      </c>
      <c r="D884" s="20"/>
      <c r="E884" s="9"/>
      <c r="F884" s="22">
        <f>Source!AL670</f>
        <v>1.26</v>
      </c>
      <c r="G884" s="21" t="str">
        <f>Source!DD670</f>
        <v>)*4</v>
      </c>
      <c r="H884" s="9">
        <f>Source!AW670</f>
        <v>1</v>
      </c>
      <c r="I884" s="9">
        <f>IF(Source!BC670&lt;&gt; 0, Source!BC670, 1)</f>
        <v>1</v>
      </c>
      <c r="J884" s="22">
        <f>Source!P670</f>
        <v>50.4</v>
      </c>
      <c r="K884" s="22"/>
    </row>
    <row r="885" spans="1:22" ht="14.25" x14ac:dyDescent="0.2">
      <c r="A885" s="19"/>
      <c r="B885" s="19"/>
      <c r="C885" s="19" t="s">
        <v>501</v>
      </c>
      <c r="D885" s="20" t="s">
        <v>502</v>
      </c>
      <c r="E885" s="9">
        <f>Source!AT670</f>
        <v>70</v>
      </c>
      <c r="F885" s="22"/>
      <c r="G885" s="21"/>
      <c r="H885" s="9"/>
      <c r="I885" s="9"/>
      <c r="J885" s="22">
        <f>SUM(R881:R884)</f>
        <v>4092.48</v>
      </c>
      <c r="K885" s="22"/>
    </row>
    <row r="886" spans="1:22" ht="14.25" x14ac:dyDescent="0.2">
      <c r="A886" s="19"/>
      <c r="B886" s="19"/>
      <c r="C886" s="19" t="s">
        <v>503</v>
      </c>
      <c r="D886" s="20" t="s">
        <v>502</v>
      </c>
      <c r="E886" s="9">
        <f>Source!AU670</f>
        <v>10</v>
      </c>
      <c r="F886" s="22"/>
      <c r="G886" s="21"/>
      <c r="H886" s="9"/>
      <c r="I886" s="9"/>
      <c r="J886" s="22">
        <f>SUM(T881:T885)</f>
        <v>584.64</v>
      </c>
      <c r="K886" s="22"/>
    </row>
    <row r="887" spans="1:22" ht="14.25" x14ac:dyDescent="0.2">
      <c r="A887" s="19"/>
      <c r="B887" s="19"/>
      <c r="C887" s="19" t="s">
        <v>504</v>
      </c>
      <c r="D887" s="20" t="s">
        <v>505</v>
      </c>
      <c r="E887" s="9">
        <f>Source!AQ670</f>
        <v>0.26</v>
      </c>
      <c r="F887" s="22"/>
      <c r="G887" s="21" t="str">
        <f>Source!DI670</f>
        <v>)*4</v>
      </c>
      <c r="H887" s="9">
        <f>Source!AV670</f>
        <v>1</v>
      </c>
      <c r="I887" s="9"/>
      <c r="J887" s="22"/>
      <c r="K887" s="22">
        <f>Source!U670</f>
        <v>10.4</v>
      </c>
    </row>
    <row r="888" spans="1:22" ht="15" x14ac:dyDescent="0.25">
      <c r="A888" s="25"/>
      <c r="B888" s="25"/>
      <c r="C888" s="25"/>
      <c r="D888" s="25"/>
      <c r="E888" s="25"/>
      <c r="F888" s="25"/>
      <c r="G888" s="25"/>
      <c r="H888" s="25"/>
      <c r="I888" s="52">
        <f>J883+J884+J885+J886</f>
        <v>10573.919999999998</v>
      </c>
      <c r="J888" s="52"/>
      <c r="K888" s="26">
        <f>IF(Source!I670&lt;&gt;0, ROUND(I888/Source!I670, 2), 0)</f>
        <v>1057.3900000000001</v>
      </c>
      <c r="P888" s="24">
        <f>I888</f>
        <v>10573.919999999998</v>
      </c>
    </row>
    <row r="890" spans="1:22" ht="15" customHeight="1" x14ac:dyDescent="0.25">
      <c r="B890" s="55" t="str">
        <f>Source!G674</f>
        <v>Кабели и провода</v>
      </c>
      <c r="C890" s="55"/>
      <c r="D890" s="55"/>
      <c r="E890" s="55"/>
      <c r="F890" s="55"/>
      <c r="G890" s="55"/>
      <c r="H890" s="55"/>
      <c r="I890" s="55"/>
      <c r="J890" s="55"/>
    </row>
    <row r="891" spans="1:22" ht="57" x14ac:dyDescent="0.2">
      <c r="A891" s="19">
        <v>88</v>
      </c>
      <c r="B891" s="19" t="str">
        <f>Source!F675</f>
        <v>1.21-2103-9-2/1</v>
      </c>
      <c r="C891" s="19" t="str">
        <f>Source!G675</f>
        <v>Техническое обслуживание силовых сетей, проложенных по кирпичным и бетонным основаниям, провод сечением 3х1,5-6 мм2 / прим. 3х2,5</v>
      </c>
      <c r="D891" s="20" t="str">
        <f>Source!H675</f>
        <v>100 м</v>
      </c>
      <c r="E891" s="9">
        <f>Source!I675</f>
        <v>0.52200000000000002</v>
      </c>
      <c r="F891" s="22"/>
      <c r="G891" s="21"/>
      <c r="H891" s="9"/>
      <c r="I891" s="9"/>
      <c r="J891" s="22"/>
      <c r="K891" s="22"/>
      <c r="Q891">
        <f>ROUND((Source!BZ675/100)*ROUND((Source!AF675*Source!AV675)*Source!I675, 2), 2)</f>
        <v>1956.04</v>
      </c>
      <c r="R891">
        <f>Source!X675</f>
        <v>1956.04</v>
      </c>
      <c r="S891">
        <f>ROUND((Source!CA675/100)*ROUND((Source!AF675*Source!AV675)*Source!I675, 2), 2)</f>
        <v>279.43</v>
      </c>
      <c r="T891">
        <f>Source!Y675</f>
        <v>279.43</v>
      </c>
      <c r="U891">
        <f>ROUND((175/100)*ROUND((Source!AE675*Source!AV675)*Source!I675, 2), 2)</f>
        <v>0</v>
      </c>
      <c r="V891">
        <f>ROUND((108/100)*ROUND(Source!CS675*Source!I675, 2), 2)</f>
        <v>0</v>
      </c>
    </row>
    <row r="892" spans="1:22" x14ac:dyDescent="0.2">
      <c r="C892" s="23" t="str">
        <f>"Объем: "&amp;Source!I675&amp;"=(261*"&amp;"10)*"&amp;"0,2*"&amp;"0,1/"&amp;"100"</f>
        <v>Объем: 0,522=(261*10)*0,2*0,1/100</v>
      </c>
    </row>
    <row r="893" spans="1:22" ht="14.25" x14ac:dyDescent="0.2">
      <c r="A893" s="19"/>
      <c r="B893" s="19"/>
      <c r="C893" s="19" t="s">
        <v>500</v>
      </c>
      <c r="D893" s="20"/>
      <c r="E893" s="9"/>
      <c r="F893" s="22">
        <f>Source!AO675</f>
        <v>5353.15</v>
      </c>
      <c r="G893" s="21" t="str">
        <f>Source!DG675</f>
        <v/>
      </c>
      <c r="H893" s="9">
        <f>Source!AV675</f>
        <v>1</v>
      </c>
      <c r="I893" s="9">
        <f>IF(Source!BA675&lt;&gt; 0, Source!BA675, 1)</f>
        <v>1</v>
      </c>
      <c r="J893" s="22">
        <f>Source!S675</f>
        <v>2794.34</v>
      </c>
      <c r="K893" s="22"/>
    </row>
    <row r="894" spans="1:22" ht="14.25" x14ac:dyDescent="0.2">
      <c r="A894" s="19"/>
      <c r="B894" s="19"/>
      <c r="C894" s="19" t="s">
        <v>508</v>
      </c>
      <c r="D894" s="20"/>
      <c r="E894" s="9"/>
      <c r="F894" s="22">
        <f>Source!AL675</f>
        <v>22.51</v>
      </c>
      <c r="G894" s="21" t="str">
        <f>Source!DD675</f>
        <v/>
      </c>
      <c r="H894" s="9">
        <f>Source!AW675</f>
        <v>1</v>
      </c>
      <c r="I894" s="9">
        <f>IF(Source!BC675&lt;&gt; 0, Source!BC675, 1)</f>
        <v>1</v>
      </c>
      <c r="J894" s="22">
        <f>Source!P675</f>
        <v>11.75</v>
      </c>
      <c r="K894" s="22"/>
    </row>
    <row r="895" spans="1:22" ht="14.25" x14ac:dyDescent="0.2">
      <c r="A895" s="19"/>
      <c r="B895" s="19"/>
      <c r="C895" s="19" t="s">
        <v>501</v>
      </c>
      <c r="D895" s="20" t="s">
        <v>502</v>
      </c>
      <c r="E895" s="9">
        <f>Source!AT675</f>
        <v>70</v>
      </c>
      <c r="F895" s="22"/>
      <c r="G895" s="21"/>
      <c r="H895" s="9"/>
      <c r="I895" s="9"/>
      <c r="J895" s="22">
        <f>SUM(R891:R894)</f>
        <v>1956.04</v>
      </c>
      <c r="K895" s="22"/>
    </row>
    <row r="896" spans="1:22" ht="14.25" x14ac:dyDescent="0.2">
      <c r="A896" s="19"/>
      <c r="B896" s="19"/>
      <c r="C896" s="19" t="s">
        <v>503</v>
      </c>
      <c r="D896" s="20" t="s">
        <v>502</v>
      </c>
      <c r="E896" s="9">
        <f>Source!AU675</f>
        <v>10</v>
      </c>
      <c r="F896" s="22"/>
      <c r="G896" s="21"/>
      <c r="H896" s="9"/>
      <c r="I896" s="9"/>
      <c r="J896" s="22">
        <f>SUM(T891:T895)</f>
        <v>279.43</v>
      </c>
      <c r="K896" s="22"/>
    </row>
    <row r="897" spans="1:22" ht="14.25" x14ac:dyDescent="0.2">
      <c r="A897" s="19"/>
      <c r="B897" s="19"/>
      <c r="C897" s="19" t="s">
        <v>504</v>
      </c>
      <c r="D897" s="20" t="s">
        <v>505</v>
      </c>
      <c r="E897" s="9">
        <f>Source!AQ675</f>
        <v>10</v>
      </c>
      <c r="F897" s="22"/>
      <c r="G897" s="21" t="str">
        <f>Source!DI675</f>
        <v/>
      </c>
      <c r="H897" s="9">
        <f>Source!AV675</f>
        <v>1</v>
      </c>
      <c r="I897" s="9"/>
      <c r="J897" s="22"/>
      <c r="K897" s="22">
        <f>Source!U675</f>
        <v>5.2200000000000006</v>
      </c>
    </row>
    <row r="898" spans="1:22" ht="15" x14ac:dyDescent="0.25">
      <c r="A898" s="25"/>
      <c r="B898" s="25"/>
      <c r="C898" s="25"/>
      <c r="D898" s="25"/>
      <c r="E898" s="25"/>
      <c r="F898" s="25"/>
      <c r="G898" s="25"/>
      <c r="H898" s="25"/>
      <c r="I898" s="52">
        <f>J893+J894+J895+J896</f>
        <v>5041.5600000000004</v>
      </c>
      <c r="J898" s="52"/>
      <c r="K898" s="26">
        <f>IF(Source!I675&lt;&gt;0, ROUND(I898/Source!I675, 2), 0)</f>
        <v>9658.16</v>
      </c>
      <c r="P898" s="24">
        <f>I898</f>
        <v>5041.5600000000004</v>
      </c>
    </row>
    <row r="899" spans="1:22" ht="57" x14ac:dyDescent="0.2">
      <c r="A899" s="19">
        <v>89</v>
      </c>
      <c r="B899" s="19" t="str">
        <f>Source!F677</f>
        <v>1.21-2103-9-2/1</v>
      </c>
      <c r="C899" s="19" t="str">
        <f>Source!G677</f>
        <v>Техническое обслуживание силовых сетей, проложенных по кирпичным и бетонным основаниям, провод сечением 3х1,5-6 мм2</v>
      </c>
      <c r="D899" s="20" t="str">
        <f>Source!H677</f>
        <v>100 м</v>
      </c>
      <c r="E899" s="9">
        <f>Source!I677</f>
        <v>0.49</v>
      </c>
      <c r="F899" s="22"/>
      <c r="G899" s="21"/>
      <c r="H899" s="9"/>
      <c r="I899" s="9"/>
      <c r="J899" s="22"/>
      <c r="K899" s="22"/>
      <c r="Q899">
        <f>ROUND((Source!BZ677/100)*ROUND((Source!AF677*Source!AV677)*Source!I677, 2), 2)</f>
        <v>1836.13</v>
      </c>
      <c r="R899">
        <f>Source!X677</f>
        <v>1836.13</v>
      </c>
      <c r="S899">
        <f>ROUND((Source!CA677/100)*ROUND((Source!AF677*Source!AV677)*Source!I677, 2), 2)</f>
        <v>262.3</v>
      </c>
      <c r="T899">
        <f>Source!Y677</f>
        <v>262.3</v>
      </c>
      <c r="U899">
        <f>ROUND((175/100)*ROUND((Source!AE677*Source!AV677)*Source!I677, 2), 2)</f>
        <v>0</v>
      </c>
      <c r="V899">
        <f>ROUND((108/100)*ROUND(Source!CS677*Source!I677, 2), 2)</f>
        <v>0</v>
      </c>
    </row>
    <row r="900" spans="1:22" x14ac:dyDescent="0.2">
      <c r="C900" s="23" t="str">
        <f>"Объем: "&amp;Source!I677&amp;"=(245*"&amp;"10)*"&amp;"0,2*"&amp;"0,1/"&amp;"100"</f>
        <v>Объем: 0,49=(245*10)*0,2*0,1/100</v>
      </c>
    </row>
    <row r="901" spans="1:22" ht="14.25" x14ac:dyDescent="0.2">
      <c r="A901" s="19"/>
      <c r="B901" s="19"/>
      <c r="C901" s="19" t="s">
        <v>500</v>
      </c>
      <c r="D901" s="20"/>
      <c r="E901" s="9"/>
      <c r="F901" s="22">
        <f>Source!AO677</f>
        <v>5353.15</v>
      </c>
      <c r="G901" s="21" t="str">
        <f>Source!DG677</f>
        <v/>
      </c>
      <c r="H901" s="9">
        <f>Source!AV677</f>
        <v>1</v>
      </c>
      <c r="I901" s="9">
        <f>IF(Source!BA677&lt;&gt; 0, Source!BA677, 1)</f>
        <v>1</v>
      </c>
      <c r="J901" s="22">
        <f>Source!S677</f>
        <v>2623.04</v>
      </c>
      <c r="K901" s="22"/>
    </row>
    <row r="902" spans="1:22" ht="14.25" x14ac:dyDescent="0.2">
      <c r="A902" s="19"/>
      <c r="B902" s="19"/>
      <c r="C902" s="19" t="s">
        <v>508</v>
      </c>
      <c r="D902" s="20"/>
      <c r="E902" s="9"/>
      <c r="F902" s="22">
        <f>Source!AL677</f>
        <v>22.51</v>
      </c>
      <c r="G902" s="21" t="str">
        <f>Source!DD677</f>
        <v/>
      </c>
      <c r="H902" s="9">
        <f>Source!AW677</f>
        <v>1</v>
      </c>
      <c r="I902" s="9">
        <f>IF(Source!BC677&lt;&gt; 0, Source!BC677, 1)</f>
        <v>1</v>
      </c>
      <c r="J902" s="22">
        <f>Source!P677</f>
        <v>11.03</v>
      </c>
      <c r="K902" s="22"/>
    </row>
    <row r="903" spans="1:22" ht="14.25" x14ac:dyDescent="0.2">
      <c r="A903" s="19"/>
      <c r="B903" s="19"/>
      <c r="C903" s="19" t="s">
        <v>501</v>
      </c>
      <c r="D903" s="20" t="s">
        <v>502</v>
      </c>
      <c r="E903" s="9">
        <f>Source!AT677</f>
        <v>70</v>
      </c>
      <c r="F903" s="22"/>
      <c r="G903" s="21"/>
      <c r="H903" s="9"/>
      <c r="I903" s="9"/>
      <c r="J903" s="22">
        <f>SUM(R899:R902)</f>
        <v>1836.13</v>
      </c>
      <c r="K903" s="22"/>
    </row>
    <row r="904" spans="1:22" ht="14.25" x14ac:dyDescent="0.2">
      <c r="A904" s="19"/>
      <c r="B904" s="19"/>
      <c r="C904" s="19" t="s">
        <v>503</v>
      </c>
      <c r="D904" s="20" t="s">
        <v>502</v>
      </c>
      <c r="E904" s="9">
        <f>Source!AU677</f>
        <v>10</v>
      </c>
      <c r="F904" s="22"/>
      <c r="G904" s="21"/>
      <c r="H904" s="9"/>
      <c r="I904" s="9"/>
      <c r="J904" s="22">
        <f>SUM(T899:T903)</f>
        <v>262.3</v>
      </c>
      <c r="K904" s="22"/>
    </row>
    <row r="905" spans="1:22" ht="14.25" x14ac:dyDescent="0.2">
      <c r="A905" s="19"/>
      <c r="B905" s="19"/>
      <c r="C905" s="19" t="s">
        <v>504</v>
      </c>
      <c r="D905" s="20" t="s">
        <v>505</v>
      </c>
      <c r="E905" s="9">
        <f>Source!AQ677</f>
        <v>10</v>
      </c>
      <c r="F905" s="22"/>
      <c r="G905" s="21" t="str">
        <f>Source!DI677</f>
        <v/>
      </c>
      <c r="H905" s="9">
        <f>Source!AV677</f>
        <v>1</v>
      </c>
      <c r="I905" s="9"/>
      <c r="J905" s="22"/>
      <c r="K905" s="22">
        <f>Source!U677</f>
        <v>4.9000000000000004</v>
      </c>
    </row>
    <row r="906" spans="1:22" ht="15" x14ac:dyDescent="0.25">
      <c r="A906" s="25"/>
      <c r="B906" s="25"/>
      <c r="C906" s="25"/>
      <c r="D906" s="25"/>
      <c r="E906" s="25"/>
      <c r="F906" s="25"/>
      <c r="G906" s="25"/>
      <c r="H906" s="25"/>
      <c r="I906" s="52">
        <f>J901+J902+J903+J904</f>
        <v>4732.5000000000009</v>
      </c>
      <c r="J906" s="52"/>
      <c r="K906" s="26">
        <f>IF(Source!I677&lt;&gt;0, ROUND(I906/Source!I677, 2), 0)</f>
        <v>9658.16</v>
      </c>
      <c r="P906" s="24">
        <f>I906</f>
        <v>4732.5000000000009</v>
      </c>
    </row>
    <row r="908" spans="1:22" ht="15" customHeight="1" x14ac:dyDescent="0.25">
      <c r="B908" s="55" t="str">
        <f>Source!G681</f>
        <v>Прочее оборудование</v>
      </c>
      <c r="C908" s="55"/>
      <c r="D908" s="55"/>
      <c r="E908" s="55"/>
      <c r="F908" s="55"/>
      <c r="G908" s="55"/>
      <c r="H908" s="55"/>
      <c r="I908" s="55"/>
      <c r="J908" s="55"/>
    </row>
    <row r="909" spans="1:22" ht="57" x14ac:dyDescent="0.2">
      <c r="A909" s="19">
        <v>90</v>
      </c>
      <c r="B909" s="19" t="str">
        <f>Source!F682</f>
        <v>1.21-2103-9-2/1</v>
      </c>
      <c r="C909" s="19" t="str">
        <f>Source!G682</f>
        <v>Техническое обслуживание силовых сетей, проложенных по кирпичным и бетонным основаниям, провод сечением 3х1,5-6 мм2/ кабель греющий</v>
      </c>
      <c r="D909" s="20" t="str">
        <f>Source!H682</f>
        <v>100 м</v>
      </c>
      <c r="E909" s="9">
        <f>Source!I682</f>
        <v>0.01</v>
      </c>
      <c r="F909" s="22"/>
      <c r="G909" s="21"/>
      <c r="H909" s="9"/>
      <c r="I909" s="9"/>
      <c r="J909" s="22"/>
      <c r="K909" s="22"/>
      <c r="Q909">
        <f>ROUND((Source!BZ682/100)*ROUND((Source!AF682*Source!AV682)*Source!I682, 2), 2)</f>
        <v>37.47</v>
      </c>
      <c r="R909">
        <f>Source!X682</f>
        <v>37.47</v>
      </c>
      <c r="S909">
        <f>ROUND((Source!CA682/100)*ROUND((Source!AF682*Source!AV682)*Source!I682, 2), 2)</f>
        <v>5.35</v>
      </c>
      <c r="T909">
        <f>Source!Y682</f>
        <v>5.35</v>
      </c>
      <c r="U909">
        <f>ROUND((175/100)*ROUND((Source!AE682*Source!AV682)*Source!I682, 2), 2)</f>
        <v>0</v>
      </c>
      <c r="V909">
        <f>ROUND((108/100)*ROUND(Source!CS682*Source!I682, 2), 2)</f>
        <v>0</v>
      </c>
    </row>
    <row r="910" spans="1:22" x14ac:dyDescent="0.2">
      <c r="C910" s="23" t="str">
        <f>"Объем: "&amp;Source!I682&amp;"=(5*"&amp;"10)*"&amp;"0,2*"&amp;"0,1/"&amp;"100"</f>
        <v>Объем: 0,01=(5*10)*0,2*0,1/100</v>
      </c>
    </row>
    <row r="911" spans="1:22" ht="14.25" x14ac:dyDescent="0.2">
      <c r="A911" s="19"/>
      <c r="B911" s="19"/>
      <c r="C911" s="19" t="s">
        <v>500</v>
      </c>
      <c r="D911" s="20"/>
      <c r="E911" s="9"/>
      <c r="F911" s="22">
        <f>Source!AO682</f>
        <v>5353.15</v>
      </c>
      <c r="G911" s="21" t="str">
        <f>Source!DG682</f>
        <v/>
      </c>
      <c r="H911" s="9">
        <f>Source!AV682</f>
        <v>1</v>
      </c>
      <c r="I911" s="9">
        <f>IF(Source!BA682&lt;&gt; 0, Source!BA682, 1)</f>
        <v>1</v>
      </c>
      <c r="J911" s="22">
        <f>Source!S682</f>
        <v>53.53</v>
      </c>
      <c r="K911" s="22"/>
    </row>
    <row r="912" spans="1:22" ht="14.25" x14ac:dyDescent="0.2">
      <c r="A912" s="19"/>
      <c r="B912" s="19"/>
      <c r="C912" s="19" t="s">
        <v>508</v>
      </c>
      <c r="D912" s="20"/>
      <c r="E912" s="9"/>
      <c r="F912" s="22">
        <f>Source!AL682</f>
        <v>22.51</v>
      </c>
      <c r="G912" s="21" t="str">
        <f>Source!DD682</f>
        <v/>
      </c>
      <c r="H912" s="9">
        <f>Source!AW682</f>
        <v>1</v>
      </c>
      <c r="I912" s="9">
        <f>IF(Source!BC682&lt;&gt; 0, Source!BC682, 1)</f>
        <v>1</v>
      </c>
      <c r="J912" s="22">
        <f>Source!P682</f>
        <v>0.23</v>
      </c>
      <c r="K912" s="22"/>
    </row>
    <row r="913" spans="1:32" ht="14.25" x14ac:dyDescent="0.2">
      <c r="A913" s="19"/>
      <c r="B913" s="19"/>
      <c r="C913" s="19" t="s">
        <v>501</v>
      </c>
      <c r="D913" s="20" t="s">
        <v>502</v>
      </c>
      <c r="E913" s="9">
        <f>Source!AT682</f>
        <v>70</v>
      </c>
      <c r="F913" s="22"/>
      <c r="G913" s="21"/>
      <c r="H913" s="9"/>
      <c r="I913" s="9"/>
      <c r="J913" s="22">
        <f>SUM(R909:R912)</f>
        <v>37.47</v>
      </c>
      <c r="K913" s="22"/>
    </row>
    <row r="914" spans="1:32" ht="14.25" x14ac:dyDescent="0.2">
      <c r="A914" s="19"/>
      <c r="B914" s="19"/>
      <c r="C914" s="19" t="s">
        <v>503</v>
      </c>
      <c r="D914" s="20" t="s">
        <v>502</v>
      </c>
      <c r="E914" s="9">
        <f>Source!AU682</f>
        <v>10</v>
      </c>
      <c r="F914" s="22"/>
      <c r="G914" s="21"/>
      <c r="H914" s="9"/>
      <c r="I914" s="9"/>
      <c r="J914" s="22">
        <f>SUM(T909:T913)</f>
        <v>5.35</v>
      </c>
      <c r="K914" s="22"/>
    </row>
    <row r="915" spans="1:32" ht="14.25" x14ac:dyDescent="0.2">
      <c r="A915" s="19"/>
      <c r="B915" s="19"/>
      <c r="C915" s="19" t="s">
        <v>504</v>
      </c>
      <c r="D915" s="20" t="s">
        <v>505</v>
      </c>
      <c r="E915" s="9">
        <f>Source!AQ682</f>
        <v>10</v>
      </c>
      <c r="F915" s="22"/>
      <c r="G915" s="21" t="str">
        <f>Source!DI682</f>
        <v/>
      </c>
      <c r="H915" s="9">
        <f>Source!AV682</f>
        <v>1</v>
      </c>
      <c r="I915" s="9"/>
      <c r="J915" s="22"/>
      <c r="K915" s="22">
        <f>Source!U682</f>
        <v>0.1</v>
      </c>
    </row>
    <row r="916" spans="1:32" ht="15" x14ac:dyDescent="0.25">
      <c r="A916" s="25"/>
      <c r="B916" s="25"/>
      <c r="C916" s="25"/>
      <c r="D916" s="25"/>
      <c r="E916" s="25"/>
      <c r="F916" s="25"/>
      <c r="G916" s="25"/>
      <c r="H916" s="25"/>
      <c r="I916" s="52">
        <f>J911+J912+J913+J914</f>
        <v>96.579999999999984</v>
      </c>
      <c r="J916" s="52"/>
      <c r="K916" s="26">
        <f>IF(Source!I682&lt;&gt;0, ROUND(I916/Source!I682, 2), 0)</f>
        <v>9658</v>
      </c>
      <c r="P916" s="24">
        <f>I916</f>
        <v>96.579999999999984</v>
      </c>
    </row>
    <row r="918" spans="1:32" ht="15" customHeight="1" x14ac:dyDescent="0.25">
      <c r="A918" s="54" t="str">
        <f>CONCATENATE("Итого по подразделу: ",IF(Source!G685&lt;&gt;"Новый подраздел", Source!G685, ""))</f>
        <v>Итого по подразделу: Система электроснабжения</v>
      </c>
      <c r="B918" s="54"/>
      <c r="C918" s="54"/>
      <c r="D918" s="54"/>
      <c r="E918" s="54"/>
      <c r="F918" s="54"/>
      <c r="G918" s="54"/>
      <c r="H918" s="54"/>
      <c r="I918" s="53">
        <f>SUM(P783:P917)</f>
        <v>661064.31999999995</v>
      </c>
      <c r="J918" s="53"/>
      <c r="K918" s="28"/>
    </row>
    <row r="921" spans="1:32" ht="30" customHeight="1" x14ac:dyDescent="0.25">
      <c r="A921" s="54" t="str">
        <f>CONCATENATE("Итого по разделу: ",IF(Source!G715&lt;&gt;"Новый раздел", Source!G715, ""))</f>
        <v>Итого по разделу: Дом двухсекционный  (10 шт.) по адресу: г. Москва, городское поселение Краснопахорское, квартал 107</v>
      </c>
      <c r="B921" s="54"/>
      <c r="C921" s="54"/>
      <c r="D921" s="54"/>
      <c r="E921" s="54"/>
      <c r="F921" s="54"/>
      <c r="G921" s="54"/>
      <c r="H921" s="54"/>
      <c r="I921" s="53">
        <f>SUM(P618:P920)</f>
        <v>877578.0399999998</v>
      </c>
      <c r="J921" s="53"/>
      <c r="K921" s="28"/>
      <c r="AF921" s="29" t="str">
        <f>CONCATENATE("Итого по разделу: ",IF(Source!G715&lt;&gt;"Новый раздел", Source!G715, ""))</f>
        <v>Итого по разделу: Дом двухсекционный  (10 шт.) по адресу: г. Москва, городское поселение Краснопахорское, квартал 107</v>
      </c>
    </row>
    <row r="924" spans="1:32" ht="15" customHeight="1" x14ac:dyDescent="0.25">
      <c r="A924" s="54" t="str">
        <f>CONCATENATE("Итого по локальной смете: ",IF(Source!G745&lt;&gt;"Новая локальная смета", Source!G745, ""))</f>
        <v xml:space="preserve">Итого по локальной смете: </v>
      </c>
      <c r="B924" s="54"/>
      <c r="C924" s="54"/>
      <c r="D924" s="54"/>
      <c r="E924" s="54"/>
      <c r="F924" s="54"/>
      <c r="G924" s="54"/>
      <c r="H924" s="54"/>
      <c r="I924" s="53">
        <f>SUM(P32:P923)</f>
        <v>3011363.3200000012</v>
      </c>
      <c r="J924" s="53"/>
      <c r="K924" s="28"/>
    </row>
    <row r="927" spans="1:32" ht="15" customHeight="1" x14ac:dyDescent="0.25">
      <c r="A927" s="54" t="str">
        <f>CONCATENATE("Итого по смете: ",IF(Source!G775&lt;&gt;"Новый объект", Source!G775, ""))</f>
        <v>Итого по смете: Фестивальная площадка_на 4 мес. (10%) испр.</v>
      </c>
      <c r="B927" s="54"/>
      <c r="C927" s="54"/>
      <c r="D927" s="54"/>
      <c r="E927" s="54"/>
      <c r="F927" s="54"/>
      <c r="G927" s="54"/>
      <c r="H927" s="54"/>
      <c r="I927" s="53">
        <f>SUM(P1:P926)</f>
        <v>3011363.3200000012</v>
      </c>
      <c r="J927" s="53"/>
      <c r="K927" s="28"/>
    </row>
    <row r="928" spans="1:32" ht="14.25" x14ac:dyDescent="0.2">
      <c r="C928" s="39" t="str">
        <f>Source!H804</f>
        <v>Итого</v>
      </c>
      <c r="D928" s="39"/>
      <c r="E928" s="39"/>
      <c r="F928" s="39"/>
      <c r="G928" s="39"/>
      <c r="H928" s="39"/>
      <c r="I928" s="46">
        <f>IF(Source!F804=0, "", Source!F804)</f>
        <v>3011363.32</v>
      </c>
      <c r="J928" s="46"/>
    </row>
    <row r="929" spans="1:11" ht="14.25" x14ac:dyDescent="0.2">
      <c r="C929" s="39" t="str">
        <f>Source!H805</f>
        <v>НДС, 22%</v>
      </c>
      <c r="D929" s="39"/>
      <c r="E929" s="39"/>
      <c r="F929" s="39"/>
      <c r="G929" s="39"/>
      <c r="H929" s="39"/>
      <c r="I929" s="46">
        <f>IF(Source!F805=0, "", Source!F805)</f>
        <v>662499.93000000005</v>
      </c>
      <c r="J929" s="46"/>
    </row>
    <row r="930" spans="1:11" ht="14.25" x14ac:dyDescent="0.2">
      <c r="C930" s="39" t="str">
        <f>Source!H806</f>
        <v>Всего с НДС</v>
      </c>
      <c r="D930" s="39"/>
      <c r="E930" s="39"/>
      <c r="F930" s="39"/>
      <c r="G930" s="39"/>
      <c r="H930" s="39"/>
      <c r="I930" s="46">
        <f>IF(Source!F806=0, "", Source!F806)</f>
        <v>3673863.25</v>
      </c>
      <c r="J930" s="46"/>
    </row>
    <row r="933" spans="1:11" ht="14.25" x14ac:dyDescent="0.2">
      <c r="A933" s="56" t="s">
        <v>518</v>
      </c>
      <c r="B933" s="56"/>
      <c r="C933" s="30" t="str">
        <f>IF(Source!AC12&lt;&gt;"", Source!AC12," ")</f>
        <v xml:space="preserve"> </v>
      </c>
      <c r="D933" s="30"/>
      <c r="E933" s="30"/>
      <c r="F933" s="30"/>
      <c r="G933" s="30"/>
      <c r="H933" s="10" t="str">
        <f>IF(Source!AB12&lt;&gt;"", Source!AB12," ")</f>
        <v xml:space="preserve"> </v>
      </c>
      <c r="I933" s="10"/>
      <c r="J933" s="10"/>
      <c r="K933" s="10"/>
    </row>
    <row r="934" spans="1:11" ht="14.25" x14ac:dyDescent="0.2">
      <c r="A934" s="10"/>
      <c r="B934" s="10"/>
      <c r="C934" s="57" t="s">
        <v>519</v>
      </c>
      <c r="D934" s="57"/>
      <c r="E934" s="57"/>
      <c r="F934" s="57"/>
      <c r="G934" s="57"/>
      <c r="H934" s="10"/>
      <c r="I934" s="10"/>
      <c r="J934" s="10"/>
      <c r="K934" s="10"/>
    </row>
    <row r="935" spans="1:11" ht="14.25" x14ac:dyDescent="0.2">
      <c r="A935" s="10"/>
      <c r="B935" s="10"/>
      <c r="C935" s="10"/>
      <c r="D935" s="10"/>
      <c r="E935" s="10"/>
      <c r="F935" s="10"/>
      <c r="G935" s="10"/>
      <c r="H935" s="10"/>
      <c r="I935" s="10"/>
      <c r="J935" s="10"/>
      <c r="K935" s="10"/>
    </row>
    <row r="936" spans="1:11" ht="14.25" x14ac:dyDescent="0.2">
      <c r="A936" s="56" t="s">
        <v>520</v>
      </c>
      <c r="B936" s="56"/>
      <c r="C936" s="30" t="str">
        <f>IF(Source!AE12&lt;&gt;"", Source!AE12," ")</f>
        <v xml:space="preserve"> </v>
      </c>
      <c r="D936" s="30"/>
      <c r="E936" s="30"/>
      <c r="F936" s="30"/>
      <c r="G936" s="30"/>
      <c r="H936" s="10" t="str">
        <f>IF(Source!AD12&lt;&gt;"", Source!AD12," ")</f>
        <v xml:space="preserve"> </v>
      </c>
      <c r="I936" s="10"/>
      <c r="J936" s="10"/>
      <c r="K936" s="10"/>
    </row>
    <row r="937" spans="1:11" ht="14.25" x14ac:dyDescent="0.2">
      <c r="A937" s="10"/>
      <c r="B937" s="10"/>
      <c r="C937" s="57" t="s">
        <v>519</v>
      </c>
      <c r="D937" s="57"/>
      <c r="E937" s="57"/>
      <c r="F937" s="57"/>
      <c r="G937" s="57"/>
      <c r="H937" s="10"/>
      <c r="I937" s="10"/>
      <c r="J937" s="10"/>
      <c r="K937" s="10"/>
    </row>
  </sheetData>
  <mergeCells count="202">
    <mergeCell ref="A936:B936"/>
    <mergeCell ref="C937:G937"/>
    <mergeCell ref="C929:H929"/>
    <mergeCell ref="I929:J929"/>
    <mergeCell ref="C930:H930"/>
    <mergeCell ref="I930:J930"/>
    <mergeCell ref="A933:B933"/>
    <mergeCell ref="C934:G934"/>
    <mergeCell ref="I924:J924"/>
    <mergeCell ref="A924:H924"/>
    <mergeCell ref="I927:J927"/>
    <mergeCell ref="A927:H927"/>
    <mergeCell ref="C928:H928"/>
    <mergeCell ref="I928:J928"/>
    <mergeCell ref="I906:J906"/>
    <mergeCell ref="B908:J908"/>
    <mergeCell ref="I916:J916"/>
    <mergeCell ref="I918:J918"/>
    <mergeCell ref="A918:H918"/>
    <mergeCell ref="I921:J921"/>
    <mergeCell ref="A921:H921"/>
    <mergeCell ref="B861:J861"/>
    <mergeCell ref="I872:J872"/>
    <mergeCell ref="I880:J880"/>
    <mergeCell ref="I888:J888"/>
    <mergeCell ref="B890:J890"/>
    <mergeCell ref="I898:J898"/>
    <mergeCell ref="I825:J825"/>
    <mergeCell ref="I833:J833"/>
    <mergeCell ref="B835:J835"/>
    <mergeCell ref="I843:J843"/>
    <mergeCell ref="I851:J851"/>
    <mergeCell ref="I859:J859"/>
    <mergeCell ref="A783:K783"/>
    <mergeCell ref="B785:J785"/>
    <mergeCell ref="I793:J793"/>
    <mergeCell ref="I801:J801"/>
    <mergeCell ref="I809:J809"/>
    <mergeCell ref="I817:J817"/>
    <mergeCell ref="A749:K749"/>
    <mergeCell ref="I756:J756"/>
    <mergeCell ref="I767:J767"/>
    <mergeCell ref="I778:J778"/>
    <mergeCell ref="I780:J780"/>
    <mergeCell ref="A780:H780"/>
    <mergeCell ref="I730:J730"/>
    <mergeCell ref="I732:J732"/>
    <mergeCell ref="A732:H732"/>
    <mergeCell ref="A735:K735"/>
    <mergeCell ref="I744:J744"/>
    <mergeCell ref="I746:J746"/>
    <mergeCell ref="A746:H746"/>
    <mergeCell ref="I677:J677"/>
    <mergeCell ref="I685:J685"/>
    <mergeCell ref="I695:J695"/>
    <mergeCell ref="I702:J702"/>
    <mergeCell ref="I712:J712"/>
    <mergeCell ref="I719:J719"/>
    <mergeCell ref="A620:K620"/>
    <mergeCell ref="I631:J631"/>
    <mergeCell ref="I642:J642"/>
    <mergeCell ref="I649:J649"/>
    <mergeCell ref="I659:J659"/>
    <mergeCell ref="I667:J667"/>
    <mergeCell ref="I610:J610"/>
    <mergeCell ref="I612:J612"/>
    <mergeCell ref="A612:H612"/>
    <mergeCell ref="I615:J615"/>
    <mergeCell ref="A615:H615"/>
    <mergeCell ref="A618:K618"/>
    <mergeCell ref="I575:J575"/>
    <mergeCell ref="I582:J582"/>
    <mergeCell ref="B584:J584"/>
    <mergeCell ref="I592:J592"/>
    <mergeCell ref="I600:J600"/>
    <mergeCell ref="B602:J602"/>
    <mergeCell ref="B530:J530"/>
    <mergeCell ref="I538:J538"/>
    <mergeCell ref="I546:J546"/>
    <mergeCell ref="I554:J554"/>
    <mergeCell ref="B556:J556"/>
    <mergeCell ref="I567:J567"/>
    <mergeCell ref="I488:J488"/>
    <mergeCell ref="I496:J496"/>
    <mergeCell ref="I504:J504"/>
    <mergeCell ref="I512:J512"/>
    <mergeCell ref="I520:J520"/>
    <mergeCell ref="I528:J528"/>
    <mergeCell ref="I463:J463"/>
    <mergeCell ref="I474:J474"/>
    <mergeCell ref="I476:J476"/>
    <mergeCell ref="A476:H476"/>
    <mergeCell ref="A479:K479"/>
    <mergeCell ref="B481:J481"/>
    <mergeCell ref="A431:K431"/>
    <mergeCell ref="I440:J440"/>
    <mergeCell ref="I442:J442"/>
    <mergeCell ref="A442:H442"/>
    <mergeCell ref="A445:K445"/>
    <mergeCell ref="I452:J452"/>
    <mergeCell ref="I398:J398"/>
    <mergeCell ref="I408:J408"/>
    <mergeCell ref="I415:J415"/>
    <mergeCell ref="I426:J426"/>
    <mergeCell ref="I428:J428"/>
    <mergeCell ref="A428:H428"/>
    <mergeCell ref="I345:J345"/>
    <mergeCell ref="I355:J355"/>
    <mergeCell ref="I363:J363"/>
    <mergeCell ref="I373:J373"/>
    <mergeCell ref="I381:J381"/>
    <mergeCell ref="I391:J391"/>
    <mergeCell ref="I311:J311"/>
    <mergeCell ref="A311:H311"/>
    <mergeCell ref="A314:K314"/>
    <mergeCell ref="A316:K316"/>
    <mergeCell ref="I327:J327"/>
    <mergeCell ref="I338:J338"/>
    <mergeCell ref="I280:J280"/>
    <mergeCell ref="I288:J288"/>
    <mergeCell ref="B290:J290"/>
    <mergeCell ref="I298:J298"/>
    <mergeCell ref="I306:J306"/>
    <mergeCell ref="I308:J308"/>
    <mergeCell ref="A308:H308"/>
    <mergeCell ref="I241:J241"/>
    <mergeCell ref="I249:J249"/>
    <mergeCell ref="B251:J251"/>
    <mergeCell ref="I262:J262"/>
    <mergeCell ref="I270:J270"/>
    <mergeCell ref="B272:J272"/>
    <mergeCell ref="I199:J199"/>
    <mergeCell ref="I207:J207"/>
    <mergeCell ref="I215:J215"/>
    <mergeCell ref="I223:J223"/>
    <mergeCell ref="I231:J231"/>
    <mergeCell ref="B233:J233"/>
    <mergeCell ref="I173:J173"/>
    <mergeCell ref="I184:J184"/>
    <mergeCell ref="I186:J186"/>
    <mergeCell ref="A186:H186"/>
    <mergeCell ref="A189:K189"/>
    <mergeCell ref="B191:J191"/>
    <mergeCell ref="A141:K141"/>
    <mergeCell ref="I150:J150"/>
    <mergeCell ref="I152:J152"/>
    <mergeCell ref="A152:H152"/>
    <mergeCell ref="A155:K155"/>
    <mergeCell ref="I162:J162"/>
    <mergeCell ref="I114:J114"/>
    <mergeCell ref="I121:J121"/>
    <mergeCell ref="I129:J129"/>
    <mergeCell ref="I136:J136"/>
    <mergeCell ref="I138:J138"/>
    <mergeCell ref="A138:H138"/>
    <mergeCell ref="I54:J54"/>
    <mergeCell ref="I64:J64"/>
    <mergeCell ref="I75:J75"/>
    <mergeCell ref="I86:J86"/>
    <mergeCell ref="I97:J97"/>
    <mergeCell ref="I104:J104"/>
    <mergeCell ref="I27:I29"/>
    <mergeCell ref="J27:J29"/>
    <mergeCell ref="A32:K32"/>
    <mergeCell ref="A34:K34"/>
    <mergeCell ref="A36:K36"/>
    <mergeCell ref="I43:J43"/>
    <mergeCell ref="F25:H25"/>
    <mergeCell ref="I25:J25"/>
    <mergeCell ref="A27:A29"/>
    <mergeCell ref="B27:B29"/>
    <mergeCell ref="C27:C29"/>
    <mergeCell ref="D27:D29"/>
    <mergeCell ref="E27:E29"/>
    <mergeCell ref="F27:F29"/>
    <mergeCell ref="G27:G29"/>
    <mergeCell ref="H27:H29"/>
    <mergeCell ref="F22:H22"/>
    <mergeCell ref="I22:J22"/>
    <mergeCell ref="F23:H23"/>
    <mergeCell ref="I23:J23"/>
    <mergeCell ref="F24:H24"/>
    <mergeCell ref="I24:J24"/>
    <mergeCell ref="A15:K15"/>
    <mergeCell ref="A16:K16"/>
    <mergeCell ref="A18:K18"/>
    <mergeCell ref="F20:H20"/>
    <mergeCell ref="I20:J20"/>
    <mergeCell ref="F21:H21"/>
    <mergeCell ref="I21:J21"/>
    <mergeCell ref="B7:E7"/>
    <mergeCell ref="G7:K7"/>
    <mergeCell ref="J2:K2"/>
    <mergeCell ref="A10:K10"/>
    <mergeCell ref="A11:K11"/>
    <mergeCell ref="A13:K13"/>
    <mergeCell ref="B3:E3"/>
    <mergeCell ref="G3:K3"/>
    <mergeCell ref="B4:E4"/>
    <mergeCell ref="G4:K4"/>
    <mergeCell ref="B6:E6"/>
    <mergeCell ref="G6:K6"/>
  </mergeCells>
  <pageMargins left="0.4" right="0.2" top="0.2" bottom="0.4" header="0.2" footer="0.2"/>
  <pageSetup paperSize="9" scale="63" fitToHeight="0" orientation="portrait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F943"/>
  <sheetViews>
    <sheetView zoomScaleNormal="100" workbookViewId="0"/>
  </sheetViews>
  <sheetFormatPr defaultRowHeight="12.75" x14ac:dyDescent="0.2"/>
  <cols>
    <col min="1" max="2" width="5.7109375" customWidth="1"/>
    <col min="3" max="3" width="11.7109375" customWidth="1"/>
    <col min="4" max="4" width="40.7109375" customWidth="1"/>
    <col min="5" max="7" width="11.7109375" customWidth="1"/>
    <col min="8" max="12" width="12.7109375" customWidth="1"/>
    <col min="15" max="30" width="0" hidden="1" customWidth="1"/>
    <col min="31" max="31" width="157.7109375" hidden="1" customWidth="1"/>
    <col min="32" max="32" width="121.7109375" hidden="1" customWidth="1"/>
    <col min="33" max="36" width="0" hidden="1" customWidth="1"/>
  </cols>
  <sheetData>
    <row r="1" spans="1:12" x14ac:dyDescent="0.2">
      <c r="A1" s="8" t="str">
        <f>CONCATENATE(Source!B1, "     СН-2012 (© ОАО МЦЦС 'Мосстройцены', ", "2025", ")")</f>
        <v>Smeta.RU  (495) 974-1589     СН-2012 (© ОАО МЦЦС 'Мосстройцены', 2025)</v>
      </c>
    </row>
    <row r="2" spans="1:12" ht="15" x14ac:dyDescent="0.25">
      <c r="A2" s="10"/>
      <c r="B2" s="10"/>
      <c r="C2" s="28"/>
      <c r="D2" s="28"/>
      <c r="E2" s="28"/>
      <c r="F2" s="10"/>
      <c r="G2" s="10"/>
      <c r="H2" s="10"/>
      <c r="I2" s="58" t="s">
        <v>521</v>
      </c>
      <c r="J2" s="58"/>
      <c r="K2" s="58"/>
      <c r="L2" s="58"/>
    </row>
    <row r="3" spans="1:12" ht="14.25" x14ac:dyDescent="0.2">
      <c r="A3" s="10"/>
      <c r="B3" s="10"/>
      <c r="C3" s="10"/>
      <c r="D3" s="10"/>
      <c r="E3" s="10"/>
      <c r="F3" s="10"/>
      <c r="G3" s="10"/>
      <c r="H3" s="10"/>
      <c r="I3" s="58" t="s">
        <v>522</v>
      </c>
      <c r="J3" s="58"/>
      <c r="K3" s="58"/>
      <c r="L3" s="58"/>
    </row>
    <row r="4" spans="1:12" ht="14.25" x14ac:dyDescent="0.2">
      <c r="A4" s="10"/>
      <c r="B4" s="10"/>
      <c r="C4" s="10"/>
      <c r="D4" s="10"/>
      <c r="E4" s="10"/>
      <c r="F4" s="10"/>
      <c r="G4" s="10"/>
      <c r="H4" s="10"/>
      <c r="I4" s="58" t="s">
        <v>523</v>
      </c>
      <c r="J4" s="58"/>
      <c r="K4" s="58"/>
      <c r="L4" s="58"/>
    </row>
    <row r="5" spans="1:12" ht="14.25" x14ac:dyDescent="0.2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1:12" ht="14.25" x14ac:dyDescent="0.2">
      <c r="A6" s="10"/>
      <c r="B6" s="10"/>
      <c r="C6" s="10"/>
      <c r="D6" s="10"/>
      <c r="E6" s="10"/>
      <c r="F6" s="10"/>
      <c r="G6" s="10"/>
      <c r="H6" s="10"/>
      <c r="I6" s="10"/>
      <c r="J6" s="59" t="s">
        <v>524</v>
      </c>
      <c r="K6" s="59"/>
      <c r="L6" s="59"/>
    </row>
    <row r="7" spans="1:12" ht="14.25" x14ac:dyDescent="0.2">
      <c r="A7" s="10"/>
      <c r="B7" s="10"/>
      <c r="C7" s="10"/>
      <c r="D7" s="10"/>
      <c r="E7" s="10"/>
      <c r="F7" s="10"/>
      <c r="G7" s="10"/>
      <c r="H7" s="10"/>
      <c r="I7" s="9" t="s">
        <v>525</v>
      </c>
      <c r="J7" s="60" t="s">
        <v>526</v>
      </c>
      <c r="K7" s="60"/>
      <c r="L7" s="60"/>
    </row>
    <row r="8" spans="1:12" ht="14.25" x14ac:dyDescent="0.2">
      <c r="A8" s="10"/>
      <c r="B8" s="10"/>
      <c r="C8" s="10"/>
      <c r="D8" s="10"/>
      <c r="E8" s="10"/>
      <c r="F8" s="10"/>
      <c r="G8" s="10"/>
      <c r="H8" s="10"/>
      <c r="I8" s="10"/>
      <c r="J8" s="59" t="str">
        <f>IF(Source!AT15 &lt;&gt; "", Source!AT15, "")</f>
        <v/>
      </c>
      <c r="K8" s="59"/>
      <c r="L8" s="59"/>
    </row>
    <row r="9" spans="1:12" ht="14.25" x14ac:dyDescent="0.2">
      <c r="A9" s="10" t="s">
        <v>527</v>
      </c>
      <c r="B9" s="10"/>
      <c r="C9" s="61" t="str">
        <f>IF(Source!BA15 &lt;&gt; "", Source!BA15, IF(Source!AU15 &lt;&gt; "", Source!AU15, ""))</f>
        <v/>
      </c>
      <c r="D9" s="61"/>
      <c r="E9" s="61"/>
      <c r="F9" s="61"/>
      <c r="G9" s="61"/>
      <c r="H9" s="61"/>
      <c r="I9" s="9" t="s">
        <v>528</v>
      </c>
      <c r="J9" s="59"/>
      <c r="K9" s="59"/>
      <c r="L9" s="59"/>
    </row>
    <row r="10" spans="1:12" ht="14.25" x14ac:dyDescent="0.2">
      <c r="A10" s="10"/>
      <c r="B10" s="10"/>
      <c r="C10" s="57" t="s">
        <v>529</v>
      </c>
      <c r="D10" s="57"/>
      <c r="E10" s="57"/>
      <c r="F10" s="57"/>
      <c r="G10" s="57"/>
      <c r="H10" s="57"/>
      <c r="I10" s="10"/>
      <c r="J10" s="59" t="str">
        <f>IF(Source!AK15 &lt;&gt; "", Source!AK15, "")</f>
        <v/>
      </c>
      <c r="K10" s="59"/>
      <c r="L10" s="59"/>
    </row>
    <row r="11" spans="1:12" ht="14.25" x14ac:dyDescent="0.2">
      <c r="A11" s="10" t="s">
        <v>530</v>
      </c>
      <c r="B11" s="10"/>
      <c r="C11" s="61" t="str">
        <f>IF(Source!AX12&lt;&gt; "", Source!AX12, IF(Source!AJ12 &lt;&gt; "", Source!AJ12, ""))</f>
        <v/>
      </c>
      <c r="D11" s="61"/>
      <c r="E11" s="61"/>
      <c r="F11" s="61"/>
      <c r="G11" s="61"/>
      <c r="H11" s="61"/>
      <c r="I11" s="9" t="s">
        <v>528</v>
      </c>
      <c r="J11" s="59"/>
      <c r="K11" s="59"/>
      <c r="L11" s="59"/>
    </row>
    <row r="12" spans="1:12" ht="14.25" x14ac:dyDescent="0.2">
      <c r="A12" s="10"/>
      <c r="B12" s="10"/>
      <c r="C12" s="57" t="s">
        <v>529</v>
      </c>
      <c r="D12" s="57"/>
      <c r="E12" s="57"/>
      <c r="F12" s="57"/>
      <c r="G12" s="57"/>
      <c r="H12" s="57"/>
      <c r="I12" s="10"/>
      <c r="J12" s="59" t="str">
        <f>IF(Source!AO15 &lt;&gt; "", Source!AO15, "")</f>
        <v/>
      </c>
      <c r="K12" s="59"/>
      <c r="L12" s="59"/>
    </row>
    <row r="13" spans="1:12" ht="14.25" x14ac:dyDescent="0.2">
      <c r="A13" s="10" t="s">
        <v>531</v>
      </c>
      <c r="B13" s="10"/>
      <c r="C13" s="61" t="str">
        <f>IF(Source!AY12&lt;&gt; "", Source!AY12, IF(Source!AN12 &lt;&gt; "", Source!AN12, ""))</f>
        <v/>
      </c>
      <c r="D13" s="61"/>
      <c r="E13" s="61"/>
      <c r="F13" s="61"/>
      <c r="G13" s="61"/>
      <c r="H13" s="61"/>
      <c r="I13" s="9" t="s">
        <v>528</v>
      </c>
      <c r="J13" s="59"/>
      <c r="K13" s="59"/>
      <c r="L13" s="59"/>
    </row>
    <row r="14" spans="1:12" ht="14.25" x14ac:dyDescent="0.2">
      <c r="A14" s="10"/>
      <c r="B14" s="10"/>
      <c r="C14" s="57" t="s">
        <v>529</v>
      </c>
      <c r="D14" s="57"/>
      <c r="E14" s="57"/>
      <c r="F14" s="57"/>
      <c r="G14" s="57"/>
      <c r="H14" s="57"/>
      <c r="I14" s="10"/>
      <c r="J14" s="59" t="str">
        <f>IF(Source!CO15 &lt;&gt; "", Source!CO15, "")</f>
        <v/>
      </c>
      <c r="K14" s="59"/>
      <c r="L14" s="59"/>
    </row>
    <row r="15" spans="1:12" ht="14.25" x14ac:dyDescent="0.2">
      <c r="A15" s="10" t="s">
        <v>532</v>
      </c>
      <c r="B15" s="10"/>
      <c r="C15" s="61" t="s">
        <v>4</v>
      </c>
      <c r="D15" s="61"/>
      <c r="E15" s="61"/>
      <c r="F15" s="61"/>
      <c r="G15" s="61"/>
      <c r="H15" s="61"/>
      <c r="I15" s="10"/>
      <c r="J15" s="59"/>
      <c r="K15" s="59"/>
      <c r="L15" s="59"/>
    </row>
    <row r="16" spans="1:12" ht="14.25" x14ac:dyDescent="0.2">
      <c r="A16" s="10"/>
      <c r="B16" s="10"/>
      <c r="C16" s="57" t="s">
        <v>533</v>
      </c>
      <c r="D16" s="57"/>
      <c r="E16" s="57"/>
      <c r="F16" s="57"/>
      <c r="G16" s="57"/>
      <c r="H16" s="57"/>
      <c r="I16" s="10"/>
      <c r="J16" s="59" t="str">
        <f>IF(Source!CP15 &lt;&gt; "", Source!CP15, "")</f>
        <v/>
      </c>
      <c r="K16" s="59"/>
      <c r="L16" s="59"/>
    </row>
    <row r="17" spans="1:12" ht="14.25" x14ac:dyDescent="0.2">
      <c r="A17" s="10" t="s">
        <v>534</v>
      </c>
      <c r="B17" s="10"/>
      <c r="C17" s="39" t="str">
        <f>IF(Source!G12&lt;&gt;"Новый объект", Source!G12, "")</f>
        <v>Фестивальная площадка_на 4 мес. (10%) испр.</v>
      </c>
      <c r="D17" s="39"/>
      <c r="E17" s="39"/>
      <c r="F17" s="39"/>
      <c r="G17" s="39"/>
      <c r="H17" s="39"/>
      <c r="I17" s="10"/>
      <c r="J17" s="59"/>
      <c r="K17" s="59"/>
      <c r="L17" s="59"/>
    </row>
    <row r="18" spans="1:12" ht="14.25" x14ac:dyDescent="0.2">
      <c r="A18" s="10"/>
      <c r="B18" s="10"/>
      <c r="C18" s="57" t="s">
        <v>535</v>
      </c>
      <c r="D18" s="57"/>
      <c r="E18" s="57"/>
      <c r="F18" s="57"/>
      <c r="G18" s="57"/>
      <c r="H18" s="57"/>
      <c r="I18" s="10"/>
      <c r="J18" s="10"/>
      <c r="K18" s="10"/>
      <c r="L18" s="10"/>
    </row>
    <row r="19" spans="1:12" ht="14.25" x14ac:dyDescent="0.2">
      <c r="A19" s="10"/>
      <c r="B19" s="10"/>
      <c r="C19" s="10"/>
      <c r="D19" s="10"/>
      <c r="E19" s="10"/>
      <c r="F19" s="10"/>
      <c r="G19" s="40" t="s">
        <v>536</v>
      </c>
      <c r="H19" s="40"/>
      <c r="I19" s="40"/>
      <c r="J19" s="59" t="str">
        <f>IF(Source!CQ15 &lt;&gt; "", Source!CQ15, "")</f>
        <v/>
      </c>
      <c r="K19" s="59"/>
      <c r="L19" s="59"/>
    </row>
    <row r="20" spans="1:12" ht="14.25" x14ac:dyDescent="0.2">
      <c r="A20" s="10"/>
      <c r="B20" s="10"/>
      <c r="C20" s="10"/>
      <c r="D20" s="10"/>
      <c r="E20" s="10"/>
      <c r="F20" s="10"/>
      <c r="G20" s="40" t="s">
        <v>537</v>
      </c>
      <c r="H20" s="68"/>
      <c r="I20" s="31" t="s">
        <v>538</v>
      </c>
      <c r="J20" s="59" t="str">
        <f>IF(Source!CR15 &lt;&gt; "", Source!CR15, "")</f>
        <v/>
      </c>
      <c r="K20" s="59"/>
      <c r="L20" s="59"/>
    </row>
    <row r="21" spans="1:12" ht="14.25" x14ac:dyDescent="0.2">
      <c r="A21" s="10"/>
      <c r="B21" s="10"/>
      <c r="C21" s="10"/>
      <c r="D21" s="10"/>
      <c r="E21" s="10"/>
      <c r="F21" s="10"/>
      <c r="G21" s="10"/>
      <c r="H21" s="10"/>
      <c r="I21" s="32" t="s">
        <v>539</v>
      </c>
      <c r="J21" s="69" t="str">
        <f>IF(Source!CS15 &lt;&gt; 0, Source!CS15, "")</f>
        <v/>
      </c>
      <c r="K21" s="69"/>
      <c r="L21" s="69"/>
    </row>
    <row r="22" spans="1:12" ht="14.25" x14ac:dyDescent="0.2">
      <c r="A22" s="10"/>
      <c r="B22" s="10"/>
      <c r="C22" s="10"/>
      <c r="D22" s="10"/>
      <c r="E22" s="10"/>
      <c r="F22" s="10"/>
      <c r="G22" s="10"/>
      <c r="H22" s="10"/>
      <c r="I22" s="9" t="s">
        <v>540</v>
      </c>
      <c r="J22" s="59" t="str">
        <f>IF(Source!CT15 &lt;&gt; "", Source!CT15, "")</f>
        <v/>
      </c>
      <c r="K22" s="59"/>
      <c r="L22" s="59"/>
    </row>
    <row r="23" spans="1:12" ht="14.25" x14ac:dyDescent="0.2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</row>
    <row r="24" spans="1:12" ht="14.25" x14ac:dyDescent="0.2">
      <c r="A24" s="10"/>
      <c r="B24" s="10"/>
      <c r="C24" s="10"/>
      <c r="D24" s="10"/>
      <c r="E24" s="10"/>
      <c r="F24" s="10"/>
      <c r="G24" s="62" t="s">
        <v>541</v>
      </c>
      <c r="H24" s="64" t="s">
        <v>542</v>
      </c>
      <c r="I24" s="64" t="s">
        <v>543</v>
      </c>
      <c r="J24" s="66"/>
      <c r="K24" s="10"/>
      <c r="L24" s="10"/>
    </row>
    <row r="25" spans="1:12" ht="14.25" x14ac:dyDescent="0.2">
      <c r="A25" s="10"/>
      <c r="B25" s="10"/>
      <c r="C25" s="10"/>
      <c r="D25" s="10"/>
      <c r="E25" s="10"/>
      <c r="F25" s="10"/>
      <c r="G25" s="63"/>
      <c r="H25" s="65"/>
      <c r="I25" s="33" t="s">
        <v>544</v>
      </c>
      <c r="J25" s="34" t="s">
        <v>545</v>
      </c>
      <c r="K25" s="10"/>
      <c r="L25" s="10"/>
    </row>
    <row r="26" spans="1:12" ht="14.25" x14ac:dyDescent="0.2">
      <c r="A26" s="10"/>
      <c r="B26" s="10"/>
      <c r="C26" s="10"/>
      <c r="D26" s="10"/>
      <c r="E26" s="10"/>
      <c r="F26" s="10"/>
      <c r="G26" s="32" t="str">
        <f>IF(Source!CN15 &lt;&gt; "", Source!CN15, "")</f>
        <v/>
      </c>
      <c r="H26" s="35" t="str">
        <f>IF(Source!CX15 &lt;&gt; 0, Source!CX15, "")</f>
        <v/>
      </c>
      <c r="I26" s="36" t="str">
        <f>IF(Source!CV15 &lt;&gt; 0, Source!CV15, "")</f>
        <v/>
      </c>
      <c r="J26" s="36" t="str">
        <f>IF(Source!CW15 &lt;&gt; 0, Source!CW15, "")</f>
        <v/>
      </c>
      <c r="K26" s="10"/>
      <c r="L26" s="10"/>
    </row>
    <row r="27" spans="1:12" ht="14.25" x14ac:dyDescent="0.2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</row>
    <row r="28" spans="1:12" ht="18" x14ac:dyDescent="0.25">
      <c r="A28" s="67" t="s">
        <v>546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</row>
    <row r="29" spans="1:12" ht="18" x14ac:dyDescent="0.25">
      <c r="A29" s="67" t="s">
        <v>547</v>
      </c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</row>
    <row r="30" spans="1:12" ht="14.25" x14ac:dyDescent="0.2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</row>
    <row r="31" spans="1:12" ht="15" x14ac:dyDescent="0.25">
      <c r="A31" s="10" t="s">
        <v>548</v>
      </c>
      <c r="B31" s="10"/>
      <c r="C31" s="10"/>
      <c r="D31" s="10"/>
      <c r="E31" s="10"/>
      <c r="F31" s="10"/>
      <c r="G31" s="10"/>
      <c r="H31" s="70">
        <f>ROUND((Source!F803/1000), 2)</f>
        <v>3011.36</v>
      </c>
      <c r="I31" s="70"/>
      <c r="J31" s="10" t="s">
        <v>549</v>
      </c>
      <c r="K31" s="10"/>
      <c r="L31" s="10"/>
    </row>
    <row r="32" spans="1:12" ht="14.25" x14ac:dyDescent="0.2">
      <c r="A32" s="10" t="s">
        <v>499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</row>
    <row r="33" spans="1:22" ht="14.25" x14ac:dyDescent="0.2">
      <c r="A33" s="71" t="s">
        <v>550</v>
      </c>
      <c r="B33" s="71"/>
      <c r="C33" s="48" t="s">
        <v>487</v>
      </c>
      <c r="D33" s="48" t="s">
        <v>488</v>
      </c>
      <c r="E33" s="48" t="s">
        <v>489</v>
      </c>
      <c r="F33" s="48" t="s">
        <v>490</v>
      </c>
      <c r="G33" s="48" t="s">
        <v>491</v>
      </c>
      <c r="H33" s="48" t="s">
        <v>492</v>
      </c>
      <c r="I33" s="48" t="s">
        <v>493</v>
      </c>
      <c r="J33" s="48" t="s">
        <v>494</v>
      </c>
      <c r="K33" s="48" t="s">
        <v>495</v>
      </c>
      <c r="L33" s="37" t="s">
        <v>496</v>
      </c>
    </row>
    <row r="34" spans="1:22" ht="28.5" x14ac:dyDescent="0.2">
      <c r="A34" s="72" t="s">
        <v>551</v>
      </c>
      <c r="B34" s="72" t="s">
        <v>552</v>
      </c>
      <c r="C34" s="49"/>
      <c r="D34" s="49"/>
      <c r="E34" s="49"/>
      <c r="F34" s="49"/>
      <c r="G34" s="49"/>
      <c r="H34" s="49"/>
      <c r="I34" s="49"/>
      <c r="J34" s="49"/>
      <c r="K34" s="49"/>
      <c r="L34" s="38" t="s">
        <v>497</v>
      </c>
    </row>
    <row r="35" spans="1:22" ht="28.5" x14ac:dyDescent="0.2">
      <c r="A35" s="72"/>
      <c r="B35" s="72"/>
      <c r="C35" s="49"/>
      <c r="D35" s="49"/>
      <c r="E35" s="49"/>
      <c r="F35" s="49"/>
      <c r="G35" s="49"/>
      <c r="H35" s="49"/>
      <c r="I35" s="49"/>
      <c r="J35" s="49"/>
      <c r="K35" s="49"/>
      <c r="L35" s="38" t="s">
        <v>498</v>
      </c>
    </row>
    <row r="36" spans="1:22" ht="14.25" x14ac:dyDescent="0.2">
      <c r="A36" s="17">
        <v>1</v>
      </c>
      <c r="B36" s="17">
        <v>2</v>
      </c>
      <c r="C36" s="17">
        <v>3</v>
      </c>
      <c r="D36" s="17">
        <v>4</v>
      </c>
      <c r="E36" s="17">
        <v>5</v>
      </c>
      <c r="F36" s="17">
        <v>6</v>
      </c>
      <c r="G36" s="17">
        <v>7</v>
      </c>
      <c r="H36" s="17">
        <v>8</v>
      </c>
      <c r="I36" s="17">
        <v>9</v>
      </c>
      <c r="J36" s="17">
        <v>10</v>
      </c>
      <c r="K36" s="17">
        <v>11</v>
      </c>
      <c r="L36" s="17">
        <v>12</v>
      </c>
    </row>
    <row r="38" spans="1:22" ht="16.5" x14ac:dyDescent="0.25">
      <c r="A38" s="51" t="str">
        <f>CONCATENATE("Локальная смета: ",IF(Source!G20&lt;&gt;"Новая локальная смета", Source!G20, ""))</f>
        <v xml:space="preserve">Локальная смета: </v>
      </c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</row>
    <row r="40" spans="1:22" ht="16.5" x14ac:dyDescent="0.25">
      <c r="A40" s="51" t="str">
        <f>CONCATENATE("Раздел: ",IF(Source!G24&lt;&gt;"Новый раздел", Source!G24, ""))</f>
        <v>Раздел: Туалетные модули (7 шт) по адресу: г. Москва, городское поселение Краснопахорское, квартал 107</v>
      </c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</row>
    <row r="42" spans="1:22" ht="16.5" x14ac:dyDescent="0.25">
      <c r="A42" s="51" t="str">
        <f>CONCATENATE("Подраздел: ",IF(Source!G28&lt;&gt;"Новый подраздел", Source!G28, ""))</f>
        <v>Подраздел: Система внутреннего водоснабжения и водоотведения</v>
      </c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</row>
    <row r="43" spans="1:22" ht="42.75" x14ac:dyDescent="0.2">
      <c r="A43" s="19">
        <v>1</v>
      </c>
      <c r="B43" s="19">
        <v>1</v>
      </c>
      <c r="C43" s="19" t="str">
        <f>Source!F34</f>
        <v>1.15-2203-7-1/1</v>
      </c>
      <c r="D43" s="19" t="str">
        <f>Source!G34</f>
        <v>Техническое обслуживание крана шарового латунного никелированного диаметром до 25 мм</v>
      </c>
      <c r="E43" s="20" t="str">
        <f>Source!H34</f>
        <v>10 шт.</v>
      </c>
      <c r="F43" s="9">
        <f>Source!I34</f>
        <v>21</v>
      </c>
      <c r="G43" s="22"/>
      <c r="H43" s="21"/>
      <c r="I43" s="9"/>
      <c r="J43" s="9"/>
      <c r="K43" s="22"/>
      <c r="L43" s="22"/>
      <c r="Q43">
        <f>ROUND((Source!BZ34/100)*ROUND((Source!AF34*Source!AV34)*Source!I34, 2), 2)</f>
        <v>4084.69</v>
      </c>
      <c r="R43">
        <f>Source!X34</f>
        <v>4084.69</v>
      </c>
      <c r="S43">
        <f>ROUND((Source!CA34/100)*ROUND((Source!AF34*Source!AV34)*Source!I34, 2), 2)</f>
        <v>583.53</v>
      </c>
      <c r="T43">
        <f>Source!Y34</f>
        <v>583.53</v>
      </c>
      <c r="U43">
        <f>ROUND((175/100)*ROUND((Source!AE34*Source!AV34)*Source!I34, 2), 2)</f>
        <v>0</v>
      </c>
      <c r="V43">
        <f>ROUND((108/100)*ROUND(Source!CS34*Source!I34, 2), 2)</f>
        <v>0</v>
      </c>
    </row>
    <row r="44" spans="1:22" x14ac:dyDescent="0.2">
      <c r="D44" s="23" t="str">
        <f>"Объем: "&amp;Source!I34&amp;"=3*"&amp;"7"</f>
        <v>Объем: 21=3*7</v>
      </c>
    </row>
    <row r="45" spans="1:22" ht="14.25" x14ac:dyDescent="0.2">
      <c r="A45" s="19"/>
      <c r="B45" s="19"/>
      <c r="C45" s="19"/>
      <c r="D45" s="19" t="s">
        <v>500</v>
      </c>
      <c r="E45" s="20"/>
      <c r="F45" s="9"/>
      <c r="G45" s="22">
        <f>Source!AO34</f>
        <v>277.87</v>
      </c>
      <c r="H45" s="21" t="str">
        <f>Source!DG34</f>
        <v/>
      </c>
      <c r="I45" s="9">
        <f>Source!AV34</f>
        <v>1</v>
      </c>
      <c r="J45" s="9">
        <f>IF(Source!BA34&lt;&gt; 0, Source!BA34, 1)</f>
        <v>1</v>
      </c>
      <c r="K45" s="22">
        <f>Source!S34</f>
        <v>5835.27</v>
      </c>
      <c r="L45" s="22"/>
    </row>
    <row r="46" spans="1:22" ht="14.25" x14ac:dyDescent="0.2">
      <c r="A46" s="19"/>
      <c r="B46" s="19"/>
      <c r="C46" s="19"/>
      <c r="D46" s="19" t="s">
        <v>501</v>
      </c>
      <c r="E46" s="20" t="s">
        <v>502</v>
      </c>
      <c r="F46" s="9">
        <f>Source!AT34</f>
        <v>70</v>
      </c>
      <c r="G46" s="22"/>
      <c r="H46" s="21"/>
      <c r="I46" s="9"/>
      <c r="J46" s="9"/>
      <c r="K46" s="22">
        <f>SUM(R43:R45)</f>
        <v>4084.69</v>
      </c>
      <c r="L46" s="22"/>
    </row>
    <row r="47" spans="1:22" ht="14.25" x14ac:dyDescent="0.2">
      <c r="A47" s="19"/>
      <c r="B47" s="19"/>
      <c r="C47" s="19"/>
      <c r="D47" s="19" t="s">
        <v>503</v>
      </c>
      <c r="E47" s="20" t="s">
        <v>502</v>
      </c>
      <c r="F47" s="9">
        <f>Source!AU34</f>
        <v>10</v>
      </c>
      <c r="G47" s="22"/>
      <c r="H47" s="21"/>
      <c r="I47" s="9"/>
      <c r="J47" s="9"/>
      <c r="K47" s="22">
        <f>SUM(T43:T46)</f>
        <v>583.53</v>
      </c>
      <c r="L47" s="22"/>
    </row>
    <row r="48" spans="1:22" ht="14.25" x14ac:dyDescent="0.2">
      <c r="A48" s="19"/>
      <c r="B48" s="19"/>
      <c r="C48" s="19"/>
      <c r="D48" s="19" t="s">
        <v>504</v>
      </c>
      <c r="E48" s="20" t="s">
        <v>505</v>
      </c>
      <c r="F48" s="9">
        <f>Source!AQ34</f>
        <v>0.45</v>
      </c>
      <c r="G48" s="22"/>
      <c r="H48" s="21" t="str">
        <f>Source!DI34</f>
        <v/>
      </c>
      <c r="I48" s="9">
        <f>Source!AV34</f>
        <v>1</v>
      </c>
      <c r="J48" s="9"/>
      <c r="K48" s="22"/>
      <c r="L48" s="22">
        <f>Source!U34</f>
        <v>9.4500000000000011</v>
      </c>
    </row>
    <row r="49" spans="1:22" ht="15" x14ac:dyDescent="0.25">
      <c r="A49" s="25"/>
      <c r="B49" s="25"/>
      <c r="C49" s="25"/>
      <c r="D49" s="25"/>
      <c r="E49" s="25"/>
      <c r="F49" s="25"/>
      <c r="G49" s="25"/>
      <c r="H49" s="25"/>
      <c r="I49" s="25"/>
      <c r="J49" s="52">
        <f>K45+K46+K47</f>
        <v>10503.490000000002</v>
      </c>
      <c r="K49" s="52"/>
      <c r="L49" s="26">
        <f>IF(Source!I34&lt;&gt;0, ROUND(J49/Source!I34, 2), 0)</f>
        <v>500.17</v>
      </c>
      <c r="P49" s="24">
        <f>J49</f>
        <v>10503.490000000002</v>
      </c>
    </row>
    <row r="50" spans="1:22" ht="42.75" x14ac:dyDescent="0.2">
      <c r="A50" s="19">
        <v>2</v>
      </c>
      <c r="B50" s="19">
        <v>2</v>
      </c>
      <c r="C50" s="19" t="str">
        <f>Source!F35</f>
        <v>1.21-2303-24-1/1</v>
      </c>
      <c r="D50" s="19" t="str">
        <f>Source!G35</f>
        <v>Техническое обслуживание электроводонагревателей объемом до 80 литров</v>
      </c>
      <c r="E50" s="20" t="str">
        <f>Source!H35</f>
        <v>шт.</v>
      </c>
      <c r="F50" s="9">
        <f>Source!I35</f>
        <v>14</v>
      </c>
      <c r="G50" s="22"/>
      <c r="H50" s="21"/>
      <c r="I50" s="9"/>
      <c r="J50" s="9"/>
      <c r="K50" s="22"/>
      <c r="L50" s="22"/>
      <c r="Q50">
        <f>ROUND((Source!BZ35/100)*ROUND((Source!AF35*Source!AV35)*Source!I35, 2), 2)</f>
        <v>12191.49</v>
      </c>
      <c r="R50">
        <f>Source!X35</f>
        <v>12191.49</v>
      </c>
      <c r="S50">
        <f>ROUND((Source!CA35/100)*ROUND((Source!AF35*Source!AV35)*Source!I35, 2), 2)</f>
        <v>1741.64</v>
      </c>
      <c r="T50">
        <f>Source!Y35</f>
        <v>1741.64</v>
      </c>
      <c r="U50">
        <f>ROUND((175/100)*ROUND((Source!AE35*Source!AV35)*Source!I35, 2), 2)</f>
        <v>21921.87</v>
      </c>
      <c r="V50">
        <f>ROUND((108/100)*ROUND(Source!CS35*Source!I35, 2), 2)</f>
        <v>13528.92</v>
      </c>
    </row>
    <row r="51" spans="1:22" x14ac:dyDescent="0.2">
      <c r="D51" s="23" t="str">
        <f>"Объем: "&amp;Source!I35&amp;"=2*"&amp;"7"</f>
        <v>Объем: 14=2*7</v>
      </c>
    </row>
    <row r="52" spans="1:22" ht="14.25" x14ac:dyDescent="0.2">
      <c r="A52" s="19"/>
      <c r="B52" s="19"/>
      <c r="C52" s="19"/>
      <c r="D52" s="19" t="s">
        <v>500</v>
      </c>
      <c r="E52" s="20"/>
      <c r="F52" s="9"/>
      <c r="G52" s="22">
        <f>Source!AO35</f>
        <v>1244.03</v>
      </c>
      <c r="H52" s="21" t="str">
        <f>Source!DG35</f>
        <v/>
      </c>
      <c r="I52" s="9">
        <f>Source!AV35</f>
        <v>1</v>
      </c>
      <c r="J52" s="9">
        <f>IF(Source!BA35&lt;&gt; 0, Source!BA35, 1)</f>
        <v>1</v>
      </c>
      <c r="K52" s="22">
        <f>Source!S35</f>
        <v>17416.419999999998</v>
      </c>
      <c r="L52" s="22"/>
    </row>
    <row r="53" spans="1:22" ht="14.25" x14ac:dyDescent="0.2">
      <c r="A53" s="19"/>
      <c r="B53" s="19"/>
      <c r="C53" s="19"/>
      <c r="D53" s="19" t="s">
        <v>506</v>
      </c>
      <c r="E53" s="20"/>
      <c r="F53" s="9"/>
      <c r="G53" s="22">
        <f>Source!AM35</f>
        <v>1411.16</v>
      </c>
      <c r="H53" s="21" t="str">
        <f>Source!DE35</f>
        <v/>
      </c>
      <c r="I53" s="9">
        <f>Source!AV35</f>
        <v>1</v>
      </c>
      <c r="J53" s="9">
        <f>IF(Source!BB35&lt;&gt; 0, Source!BB35, 1)</f>
        <v>1</v>
      </c>
      <c r="K53" s="22">
        <f>Source!Q35</f>
        <v>19756.240000000002</v>
      </c>
      <c r="L53" s="22"/>
    </row>
    <row r="54" spans="1:22" ht="14.25" x14ac:dyDescent="0.2">
      <c r="A54" s="19"/>
      <c r="B54" s="19"/>
      <c r="C54" s="19"/>
      <c r="D54" s="19" t="s">
        <v>507</v>
      </c>
      <c r="E54" s="20"/>
      <c r="F54" s="9"/>
      <c r="G54" s="22">
        <f>Source!AN35</f>
        <v>894.77</v>
      </c>
      <c r="H54" s="21" t="str">
        <f>Source!DF35</f>
        <v/>
      </c>
      <c r="I54" s="9">
        <f>Source!AV35</f>
        <v>1</v>
      </c>
      <c r="J54" s="9">
        <f>IF(Source!BS35&lt;&gt; 0, Source!BS35, 1)</f>
        <v>1</v>
      </c>
      <c r="K54" s="27">
        <f>Source!R35</f>
        <v>12526.78</v>
      </c>
      <c r="L54" s="22"/>
    </row>
    <row r="55" spans="1:22" ht="14.25" x14ac:dyDescent="0.2">
      <c r="A55" s="19"/>
      <c r="B55" s="19"/>
      <c r="C55" s="19"/>
      <c r="D55" s="19" t="s">
        <v>508</v>
      </c>
      <c r="E55" s="20"/>
      <c r="F55" s="9"/>
      <c r="G55" s="22">
        <f>Source!AL35</f>
        <v>0.63</v>
      </c>
      <c r="H55" s="21" t="str">
        <f>Source!DD35</f>
        <v/>
      </c>
      <c r="I55" s="9">
        <f>Source!AW35</f>
        <v>1</v>
      </c>
      <c r="J55" s="9">
        <f>IF(Source!BC35&lt;&gt; 0, Source!BC35, 1)</f>
        <v>1</v>
      </c>
      <c r="K55" s="22">
        <f>Source!P35</f>
        <v>8.82</v>
      </c>
      <c r="L55" s="22"/>
    </row>
    <row r="56" spans="1:22" ht="14.25" x14ac:dyDescent="0.2">
      <c r="A56" s="19"/>
      <c r="B56" s="19"/>
      <c r="C56" s="19"/>
      <c r="D56" s="19" t="s">
        <v>501</v>
      </c>
      <c r="E56" s="20" t="s">
        <v>502</v>
      </c>
      <c r="F56" s="9">
        <f>Source!AT35</f>
        <v>70</v>
      </c>
      <c r="G56" s="22"/>
      <c r="H56" s="21"/>
      <c r="I56" s="9"/>
      <c r="J56" s="9"/>
      <c r="K56" s="22">
        <f>SUM(R50:R55)</f>
        <v>12191.49</v>
      </c>
      <c r="L56" s="22"/>
    </row>
    <row r="57" spans="1:22" ht="14.25" x14ac:dyDescent="0.2">
      <c r="A57" s="19"/>
      <c r="B57" s="19"/>
      <c r="C57" s="19"/>
      <c r="D57" s="19" t="s">
        <v>503</v>
      </c>
      <c r="E57" s="20" t="s">
        <v>502</v>
      </c>
      <c r="F57" s="9">
        <f>Source!AU35</f>
        <v>10</v>
      </c>
      <c r="G57" s="22"/>
      <c r="H57" s="21"/>
      <c r="I57" s="9"/>
      <c r="J57" s="9"/>
      <c r="K57" s="22">
        <f>SUM(T50:T56)</f>
        <v>1741.64</v>
      </c>
      <c r="L57" s="22"/>
    </row>
    <row r="58" spans="1:22" ht="14.25" x14ac:dyDescent="0.2">
      <c r="A58" s="19"/>
      <c r="B58" s="19"/>
      <c r="C58" s="19"/>
      <c r="D58" s="19" t="s">
        <v>509</v>
      </c>
      <c r="E58" s="20" t="s">
        <v>502</v>
      </c>
      <c r="F58" s="9">
        <f>108</f>
        <v>108</v>
      </c>
      <c r="G58" s="22"/>
      <c r="H58" s="21"/>
      <c r="I58" s="9"/>
      <c r="J58" s="9"/>
      <c r="K58" s="22">
        <f>SUM(V50:V57)</f>
        <v>13528.92</v>
      </c>
      <c r="L58" s="22"/>
    </row>
    <row r="59" spans="1:22" ht="14.25" x14ac:dyDescent="0.2">
      <c r="A59" s="19"/>
      <c r="B59" s="19"/>
      <c r="C59" s="19"/>
      <c r="D59" s="19" t="s">
        <v>504</v>
      </c>
      <c r="E59" s="20" t="s">
        <v>505</v>
      </c>
      <c r="F59" s="9">
        <f>Source!AQ35</f>
        <v>1.75</v>
      </c>
      <c r="G59" s="22"/>
      <c r="H59" s="21" t="str">
        <f>Source!DI35</f>
        <v/>
      </c>
      <c r="I59" s="9">
        <f>Source!AV35</f>
        <v>1</v>
      </c>
      <c r="J59" s="9"/>
      <c r="K59" s="22"/>
      <c r="L59" s="22">
        <f>Source!U35</f>
        <v>24.5</v>
      </c>
    </row>
    <row r="60" spans="1:22" ht="15" x14ac:dyDescent="0.25">
      <c r="A60" s="25"/>
      <c r="B60" s="25"/>
      <c r="C60" s="25"/>
      <c r="D60" s="25"/>
      <c r="E60" s="25"/>
      <c r="F60" s="25"/>
      <c r="G60" s="25"/>
      <c r="H60" s="25"/>
      <c r="I60" s="25"/>
      <c r="J60" s="52">
        <f>K52+K53+K55+K56+K57+K58</f>
        <v>64643.53</v>
      </c>
      <c r="K60" s="52"/>
      <c r="L60" s="26">
        <f>IF(Source!I35&lt;&gt;0, ROUND(J60/Source!I35, 2), 0)</f>
        <v>4617.3999999999996</v>
      </c>
      <c r="P60" s="24">
        <f>J60</f>
        <v>64643.53</v>
      </c>
    </row>
    <row r="61" spans="1:22" ht="42.75" x14ac:dyDescent="0.2">
      <c r="A61" s="19">
        <v>3</v>
      </c>
      <c r="B61" s="19">
        <v>3</v>
      </c>
      <c r="C61" s="19" t="str">
        <f>Source!F36</f>
        <v>1.23-2103-41-1/1</v>
      </c>
      <c r="D61" s="19" t="str">
        <f>Source!G36</f>
        <v>Техническое обслуживание регулирующего клапана / Клапан предохранительный Ду 15</v>
      </c>
      <c r="E61" s="20" t="str">
        <f>Source!H36</f>
        <v>шт.</v>
      </c>
      <c r="F61" s="9">
        <f>Source!I36</f>
        <v>14</v>
      </c>
      <c r="G61" s="22"/>
      <c r="H61" s="21"/>
      <c r="I61" s="9"/>
      <c r="J61" s="9"/>
      <c r="K61" s="22"/>
      <c r="L61" s="22"/>
      <c r="Q61">
        <f>ROUND((Source!BZ36/100)*ROUND((Source!AF36*Source!AV36)*Source!I36, 2), 2)</f>
        <v>4076.8</v>
      </c>
      <c r="R61">
        <f>Source!X36</f>
        <v>4076.8</v>
      </c>
      <c r="S61">
        <f>ROUND((Source!CA36/100)*ROUND((Source!AF36*Source!AV36)*Source!I36, 2), 2)</f>
        <v>582.4</v>
      </c>
      <c r="T61">
        <f>Source!Y36</f>
        <v>582.4</v>
      </c>
      <c r="U61">
        <f>ROUND((175/100)*ROUND((Source!AE36*Source!AV36)*Source!I36, 2), 2)</f>
        <v>2428.9299999999998</v>
      </c>
      <c r="V61">
        <f>ROUND((108/100)*ROUND(Source!CS36*Source!I36, 2), 2)</f>
        <v>1499</v>
      </c>
    </row>
    <row r="62" spans="1:22" x14ac:dyDescent="0.2">
      <c r="D62" s="23" t="str">
        <f>"Объем: "&amp;Source!I36&amp;"=2*"&amp;"7"</f>
        <v>Объем: 14=2*7</v>
      </c>
    </row>
    <row r="63" spans="1:22" ht="14.25" x14ac:dyDescent="0.2">
      <c r="A63" s="19"/>
      <c r="B63" s="19"/>
      <c r="C63" s="19"/>
      <c r="D63" s="19" t="s">
        <v>500</v>
      </c>
      <c r="E63" s="20"/>
      <c r="F63" s="9"/>
      <c r="G63" s="22">
        <f>Source!AO36</f>
        <v>208</v>
      </c>
      <c r="H63" s="21" t="str">
        <f>Source!DG36</f>
        <v>)*2</v>
      </c>
      <c r="I63" s="9">
        <f>Source!AV36</f>
        <v>1</v>
      </c>
      <c r="J63" s="9">
        <f>IF(Source!BA36&lt;&gt; 0, Source!BA36, 1)</f>
        <v>1</v>
      </c>
      <c r="K63" s="22">
        <f>Source!S36</f>
        <v>5824</v>
      </c>
      <c r="L63" s="22"/>
    </row>
    <row r="64" spans="1:22" ht="14.25" x14ac:dyDescent="0.2">
      <c r="A64" s="19"/>
      <c r="B64" s="19"/>
      <c r="C64" s="19"/>
      <c r="D64" s="19" t="s">
        <v>506</v>
      </c>
      <c r="E64" s="20"/>
      <c r="F64" s="9"/>
      <c r="G64" s="22">
        <f>Source!AM36</f>
        <v>78.180000000000007</v>
      </c>
      <c r="H64" s="21" t="str">
        <f>Source!DE36</f>
        <v>)*2</v>
      </c>
      <c r="I64" s="9">
        <f>Source!AV36</f>
        <v>1</v>
      </c>
      <c r="J64" s="9">
        <f>IF(Source!BB36&lt;&gt; 0, Source!BB36, 1)</f>
        <v>1</v>
      </c>
      <c r="K64" s="22">
        <f>Source!Q36</f>
        <v>2189.04</v>
      </c>
      <c r="L64" s="22"/>
    </row>
    <row r="65" spans="1:22" ht="14.25" x14ac:dyDescent="0.2">
      <c r="A65" s="19"/>
      <c r="B65" s="19"/>
      <c r="C65" s="19"/>
      <c r="D65" s="19" t="s">
        <v>507</v>
      </c>
      <c r="E65" s="20"/>
      <c r="F65" s="9"/>
      <c r="G65" s="22">
        <f>Source!AN36</f>
        <v>49.57</v>
      </c>
      <c r="H65" s="21" t="str">
        <f>Source!DF36</f>
        <v>)*2</v>
      </c>
      <c r="I65" s="9">
        <f>Source!AV36</f>
        <v>1</v>
      </c>
      <c r="J65" s="9">
        <f>IF(Source!BS36&lt;&gt; 0, Source!BS36, 1)</f>
        <v>1</v>
      </c>
      <c r="K65" s="27">
        <f>Source!R36</f>
        <v>1387.96</v>
      </c>
      <c r="L65" s="22"/>
    </row>
    <row r="66" spans="1:22" ht="14.25" x14ac:dyDescent="0.2">
      <c r="A66" s="19"/>
      <c r="B66" s="19"/>
      <c r="C66" s="19"/>
      <c r="D66" s="19" t="s">
        <v>501</v>
      </c>
      <c r="E66" s="20" t="s">
        <v>502</v>
      </c>
      <c r="F66" s="9">
        <f>Source!AT36</f>
        <v>70</v>
      </c>
      <c r="G66" s="22"/>
      <c r="H66" s="21"/>
      <c r="I66" s="9"/>
      <c r="J66" s="9"/>
      <c r="K66" s="22">
        <f>SUM(R61:R65)</f>
        <v>4076.8</v>
      </c>
      <c r="L66" s="22"/>
    </row>
    <row r="67" spans="1:22" ht="14.25" x14ac:dyDescent="0.2">
      <c r="A67" s="19"/>
      <c r="B67" s="19"/>
      <c r="C67" s="19"/>
      <c r="D67" s="19" t="s">
        <v>503</v>
      </c>
      <c r="E67" s="20" t="s">
        <v>502</v>
      </c>
      <c r="F67" s="9">
        <f>Source!AU36</f>
        <v>10</v>
      </c>
      <c r="G67" s="22"/>
      <c r="H67" s="21"/>
      <c r="I67" s="9"/>
      <c r="J67" s="9"/>
      <c r="K67" s="22">
        <f>SUM(T61:T66)</f>
        <v>582.4</v>
      </c>
      <c r="L67" s="22"/>
    </row>
    <row r="68" spans="1:22" ht="14.25" x14ac:dyDescent="0.2">
      <c r="A68" s="19"/>
      <c r="B68" s="19"/>
      <c r="C68" s="19"/>
      <c r="D68" s="19" t="s">
        <v>509</v>
      </c>
      <c r="E68" s="20" t="s">
        <v>502</v>
      </c>
      <c r="F68" s="9">
        <f>108</f>
        <v>108</v>
      </c>
      <c r="G68" s="22"/>
      <c r="H68" s="21"/>
      <c r="I68" s="9"/>
      <c r="J68" s="9"/>
      <c r="K68" s="22">
        <f>SUM(V61:V67)</f>
        <v>1499</v>
      </c>
      <c r="L68" s="22"/>
    </row>
    <row r="69" spans="1:22" ht="14.25" x14ac:dyDescent="0.2">
      <c r="A69" s="19"/>
      <c r="B69" s="19"/>
      <c r="C69" s="19"/>
      <c r="D69" s="19" t="s">
        <v>504</v>
      </c>
      <c r="E69" s="20" t="s">
        <v>505</v>
      </c>
      <c r="F69" s="9">
        <f>Source!AQ36</f>
        <v>0.37</v>
      </c>
      <c r="G69" s="22"/>
      <c r="H69" s="21" t="str">
        <f>Source!DI36</f>
        <v>)*2</v>
      </c>
      <c r="I69" s="9">
        <f>Source!AV36</f>
        <v>1</v>
      </c>
      <c r="J69" s="9"/>
      <c r="K69" s="22"/>
      <c r="L69" s="22">
        <f>Source!U36</f>
        <v>10.36</v>
      </c>
    </row>
    <row r="70" spans="1:22" ht="15" x14ac:dyDescent="0.25">
      <c r="A70" s="25"/>
      <c r="B70" s="25"/>
      <c r="C70" s="25"/>
      <c r="D70" s="25"/>
      <c r="E70" s="25"/>
      <c r="F70" s="25"/>
      <c r="G70" s="25"/>
      <c r="H70" s="25"/>
      <c r="I70" s="25"/>
      <c r="J70" s="52">
        <f>K63+K64+K66+K67+K68</f>
        <v>14171.24</v>
      </c>
      <c r="K70" s="52"/>
      <c r="L70" s="26">
        <f>IF(Source!I36&lt;&gt;0, ROUND(J70/Source!I36, 2), 0)</f>
        <v>1012.23</v>
      </c>
      <c r="P70" s="24">
        <f>J70</f>
        <v>14171.24</v>
      </c>
    </row>
    <row r="71" spans="1:22" ht="28.5" x14ac:dyDescent="0.2">
      <c r="A71" s="19">
        <v>4</v>
      </c>
      <c r="B71" s="19">
        <v>4</v>
      </c>
      <c r="C71" s="19" t="str">
        <f>Source!F39</f>
        <v>1.16-3201-2-1/1</v>
      </c>
      <c r="D71" s="19" t="str">
        <f>Source!G39</f>
        <v>Укрепление расшатавшихся санитарно-технических приборов - умывальники</v>
      </c>
      <c r="E71" s="20" t="str">
        <f>Source!H39</f>
        <v>100 шт.</v>
      </c>
      <c r="F71" s="9">
        <f>Source!I39</f>
        <v>1.26</v>
      </c>
      <c r="G71" s="22"/>
      <c r="H71" s="21"/>
      <c r="I71" s="9"/>
      <c r="J71" s="9"/>
      <c r="K71" s="22"/>
      <c r="L71" s="22"/>
      <c r="Q71">
        <f>ROUND((Source!BZ39/100)*ROUND((Source!AF39*Source!AV39)*Source!I39, 2), 2)</f>
        <v>46689.03</v>
      </c>
      <c r="R71">
        <f>Source!X39</f>
        <v>46689.03</v>
      </c>
      <c r="S71">
        <f>ROUND((Source!CA39/100)*ROUND((Source!AF39*Source!AV39)*Source!I39, 2), 2)</f>
        <v>6669.86</v>
      </c>
      <c r="T71">
        <f>Source!Y39</f>
        <v>6669.86</v>
      </c>
      <c r="U71">
        <f>ROUND((175/100)*ROUND((Source!AE39*Source!AV39)*Source!I39, 2), 2)</f>
        <v>1.54</v>
      </c>
      <c r="V71">
        <f>ROUND((108/100)*ROUND(Source!CS39*Source!I39, 2), 2)</f>
        <v>0.95</v>
      </c>
    </row>
    <row r="72" spans="1:22" x14ac:dyDescent="0.2">
      <c r="D72" s="23" t="str">
        <f>"Объем: "&amp;Source!I39&amp;"=(18)*"&amp;"7/"&amp;"100"</f>
        <v>Объем: 1,26=(18)*7/100</v>
      </c>
    </row>
    <row r="73" spans="1:22" ht="14.25" x14ac:dyDescent="0.2">
      <c r="A73" s="19"/>
      <c r="B73" s="19"/>
      <c r="C73" s="19"/>
      <c r="D73" s="19" t="s">
        <v>500</v>
      </c>
      <c r="E73" s="20"/>
      <c r="F73" s="9"/>
      <c r="G73" s="22">
        <f>Source!AO39</f>
        <v>52935.41</v>
      </c>
      <c r="H73" s="21" t="str">
        <f>Source!DG39</f>
        <v/>
      </c>
      <c r="I73" s="9">
        <f>Source!AV39</f>
        <v>1</v>
      </c>
      <c r="J73" s="9">
        <f>IF(Source!BA39&lt;&gt; 0, Source!BA39, 1)</f>
        <v>1</v>
      </c>
      <c r="K73" s="22">
        <f>Source!S39</f>
        <v>66698.62</v>
      </c>
      <c r="L73" s="22"/>
    </row>
    <row r="74" spans="1:22" ht="14.25" x14ac:dyDescent="0.2">
      <c r="A74" s="19"/>
      <c r="B74" s="19"/>
      <c r="C74" s="19"/>
      <c r="D74" s="19" t="s">
        <v>506</v>
      </c>
      <c r="E74" s="20"/>
      <c r="F74" s="9"/>
      <c r="G74" s="22">
        <f>Source!AM39</f>
        <v>61.83</v>
      </c>
      <c r="H74" s="21" t="str">
        <f>Source!DE39</f>
        <v/>
      </c>
      <c r="I74" s="9">
        <f>Source!AV39</f>
        <v>1</v>
      </c>
      <c r="J74" s="9">
        <f>IF(Source!BB39&lt;&gt; 0, Source!BB39, 1)</f>
        <v>1</v>
      </c>
      <c r="K74" s="22">
        <f>Source!Q39</f>
        <v>77.91</v>
      </c>
      <c r="L74" s="22"/>
    </row>
    <row r="75" spans="1:22" ht="14.25" x14ac:dyDescent="0.2">
      <c r="A75" s="19"/>
      <c r="B75" s="19"/>
      <c r="C75" s="19"/>
      <c r="D75" s="19" t="s">
        <v>507</v>
      </c>
      <c r="E75" s="20"/>
      <c r="F75" s="9"/>
      <c r="G75" s="22">
        <f>Source!AN39</f>
        <v>0.7</v>
      </c>
      <c r="H75" s="21" t="str">
        <f>Source!DF39</f>
        <v/>
      </c>
      <c r="I75" s="9">
        <f>Source!AV39</f>
        <v>1</v>
      </c>
      <c r="J75" s="9">
        <f>IF(Source!BS39&lt;&gt; 0, Source!BS39, 1)</f>
        <v>1</v>
      </c>
      <c r="K75" s="27">
        <f>Source!R39</f>
        <v>0.88</v>
      </c>
      <c r="L75" s="22"/>
    </row>
    <row r="76" spans="1:22" ht="14.25" x14ac:dyDescent="0.2">
      <c r="A76" s="19"/>
      <c r="B76" s="19"/>
      <c r="C76" s="19"/>
      <c r="D76" s="19" t="s">
        <v>508</v>
      </c>
      <c r="E76" s="20"/>
      <c r="F76" s="9"/>
      <c r="G76" s="22">
        <f>Source!AL39</f>
        <v>776.55</v>
      </c>
      <c r="H76" s="21" t="str">
        <f>Source!DD39</f>
        <v/>
      </c>
      <c r="I76" s="9">
        <f>Source!AW39</f>
        <v>1</v>
      </c>
      <c r="J76" s="9">
        <f>IF(Source!BC39&lt;&gt; 0, Source!BC39, 1)</f>
        <v>1</v>
      </c>
      <c r="K76" s="22">
        <f>Source!P39</f>
        <v>978.45</v>
      </c>
      <c r="L76" s="22"/>
    </row>
    <row r="77" spans="1:22" ht="14.25" x14ac:dyDescent="0.2">
      <c r="A77" s="19"/>
      <c r="B77" s="19"/>
      <c r="C77" s="19"/>
      <c r="D77" s="19" t="s">
        <v>501</v>
      </c>
      <c r="E77" s="20" t="s">
        <v>502</v>
      </c>
      <c r="F77" s="9">
        <f>Source!AT39</f>
        <v>70</v>
      </c>
      <c r="G77" s="22"/>
      <c r="H77" s="21"/>
      <c r="I77" s="9"/>
      <c r="J77" s="9"/>
      <c r="K77" s="22">
        <f>SUM(R71:R76)</f>
        <v>46689.03</v>
      </c>
      <c r="L77" s="22"/>
    </row>
    <row r="78" spans="1:22" ht="14.25" x14ac:dyDescent="0.2">
      <c r="A78" s="19"/>
      <c r="B78" s="19"/>
      <c r="C78" s="19"/>
      <c r="D78" s="19" t="s">
        <v>503</v>
      </c>
      <c r="E78" s="20" t="s">
        <v>502</v>
      </c>
      <c r="F78" s="9">
        <f>Source!AU39</f>
        <v>10</v>
      </c>
      <c r="G78" s="22"/>
      <c r="H78" s="21"/>
      <c r="I78" s="9"/>
      <c r="J78" s="9"/>
      <c r="K78" s="22">
        <f>SUM(T71:T77)</f>
        <v>6669.86</v>
      </c>
      <c r="L78" s="22"/>
    </row>
    <row r="79" spans="1:22" ht="14.25" x14ac:dyDescent="0.2">
      <c r="A79" s="19"/>
      <c r="B79" s="19"/>
      <c r="C79" s="19"/>
      <c r="D79" s="19" t="s">
        <v>509</v>
      </c>
      <c r="E79" s="20" t="s">
        <v>502</v>
      </c>
      <c r="F79" s="9">
        <f>108</f>
        <v>108</v>
      </c>
      <c r="G79" s="22"/>
      <c r="H79" s="21"/>
      <c r="I79" s="9"/>
      <c r="J79" s="9"/>
      <c r="K79" s="22">
        <f>SUM(V71:V78)</f>
        <v>0.95</v>
      </c>
      <c r="L79" s="22"/>
    </row>
    <row r="80" spans="1:22" ht="14.25" x14ac:dyDescent="0.2">
      <c r="A80" s="19"/>
      <c r="B80" s="19"/>
      <c r="C80" s="19"/>
      <c r="D80" s="19" t="s">
        <v>504</v>
      </c>
      <c r="E80" s="20" t="s">
        <v>505</v>
      </c>
      <c r="F80" s="9">
        <f>Source!AQ39</f>
        <v>104.44</v>
      </c>
      <c r="G80" s="22"/>
      <c r="H80" s="21" t="str">
        <f>Source!DI39</f>
        <v/>
      </c>
      <c r="I80" s="9">
        <f>Source!AV39</f>
        <v>1</v>
      </c>
      <c r="J80" s="9"/>
      <c r="K80" s="22"/>
      <c r="L80" s="22">
        <f>Source!U39</f>
        <v>131.59440000000001</v>
      </c>
    </row>
    <row r="81" spans="1:22" ht="15" x14ac:dyDescent="0.25">
      <c r="A81" s="25"/>
      <c r="B81" s="25"/>
      <c r="C81" s="25"/>
      <c r="D81" s="25"/>
      <c r="E81" s="25"/>
      <c r="F81" s="25"/>
      <c r="G81" s="25"/>
      <c r="H81" s="25"/>
      <c r="I81" s="25"/>
      <c r="J81" s="52">
        <f>K73+K74+K76+K77+K78+K79</f>
        <v>121114.81999999999</v>
      </c>
      <c r="K81" s="52"/>
      <c r="L81" s="26">
        <f>IF(Source!I39&lt;&gt;0, ROUND(J81/Source!I39, 2), 0)</f>
        <v>96122.87</v>
      </c>
      <c r="P81" s="24">
        <f>J81</f>
        <v>121114.81999999999</v>
      </c>
    </row>
    <row r="82" spans="1:22" ht="42.75" x14ac:dyDescent="0.2">
      <c r="A82" s="19">
        <v>5</v>
      </c>
      <c r="B82" s="19">
        <v>5</v>
      </c>
      <c r="C82" s="19" t="str">
        <f>Source!F40</f>
        <v>1.16-3201-2-2/1</v>
      </c>
      <c r="D82" s="19" t="str">
        <f>Source!G40</f>
        <v>Укрепление расшатавшихся санитарно-технических приборов - унитазы и биде</v>
      </c>
      <c r="E82" s="20" t="str">
        <f>Source!H40</f>
        <v>100 шт.</v>
      </c>
      <c r="F82" s="9">
        <f>Source!I40</f>
        <v>0.91</v>
      </c>
      <c r="G82" s="22"/>
      <c r="H82" s="21"/>
      <c r="I82" s="9"/>
      <c r="J82" s="9"/>
      <c r="K82" s="22"/>
      <c r="L82" s="22"/>
      <c r="Q82">
        <f>ROUND((Source!BZ40/100)*ROUND((Source!AF40*Source!AV40)*Source!I40, 2), 2)</f>
        <v>49052.65</v>
      </c>
      <c r="R82">
        <f>Source!X40</f>
        <v>49052.65</v>
      </c>
      <c r="S82">
        <f>ROUND((Source!CA40/100)*ROUND((Source!AF40*Source!AV40)*Source!I40, 2), 2)</f>
        <v>7007.52</v>
      </c>
      <c r="T82">
        <f>Source!Y40</f>
        <v>7007.52</v>
      </c>
      <c r="U82">
        <f>ROUND((175/100)*ROUND((Source!AE40*Source!AV40)*Source!I40, 2), 2)</f>
        <v>1.1200000000000001</v>
      </c>
      <c r="V82">
        <f>ROUND((108/100)*ROUND(Source!CS40*Source!I40, 2), 2)</f>
        <v>0.69</v>
      </c>
    </row>
    <row r="83" spans="1:22" x14ac:dyDescent="0.2">
      <c r="D83" s="23" t="str">
        <f>"Объем: "&amp;Source!I40&amp;"=(13)*"&amp;"7/"&amp;"100"</f>
        <v>Объем: 0,91=(13)*7/100</v>
      </c>
    </row>
    <row r="84" spans="1:22" ht="14.25" x14ac:dyDescent="0.2">
      <c r="A84" s="19"/>
      <c r="B84" s="19"/>
      <c r="C84" s="19"/>
      <c r="D84" s="19" t="s">
        <v>500</v>
      </c>
      <c r="E84" s="20"/>
      <c r="F84" s="9"/>
      <c r="G84" s="22">
        <f>Source!AO40</f>
        <v>77005.72</v>
      </c>
      <c r="H84" s="21" t="str">
        <f>Source!DG40</f>
        <v/>
      </c>
      <c r="I84" s="9">
        <f>Source!AV40</f>
        <v>1</v>
      </c>
      <c r="J84" s="9">
        <f>IF(Source!BA40&lt;&gt; 0, Source!BA40, 1)</f>
        <v>1</v>
      </c>
      <c r="K84" s="22">
        <f>Source!S40</f>
        <v>70075.210000000006</v>
      </c>
      <c r="L84" s="22"/>
    </row>
    <row r="85" spans="1:22" ht="14.25" x14ac:dyDescent="0.2">
      <c r="A85" s="19"/>
      <c r="B85" s="19"/>
      <c r="C85" s="19"/>
      <c r="D85" s="19" t="s">
        <v>506</v>
      </c>
      <c r="E85" s="20"/>
      <c r="F85" s="9"/>
      <c r="G85" s="22">
        <f>Source!AM40</f>
        <v>61.83</v>
      </c>
      <c r="H85" s="21" t="str">
        <f>Source!DE40</f>
        <v/>
      </c>
      <c r="I85" s="9">
        <f>Source!AV40</f>
        <v>1</v>
      </c>
      <c r="J85" s="9">
        <f>IF(Source!BB40&lt;&gt; 0, Source!BB40, 1)</f>
        <v>1</v>
      </c>
      <c r="K85" s="22">
        <f>Source!Q40</f>
        <v>56.27</v>
      </c>
      <c r="L85" s="22"/>
    </row>
    <row r="86" spans="1:22" ht="14.25" x14ac:dyDescent="0.2">
      <c r="A86" s="19"/>
      <c r="B86" s="19"/>
      <c r="C86" s="19"/>
      <c r="D86" s="19" t="s">
        <v>507</v>
      </c>
      <c r="E86" s="20"/>
      <c r="F86" s="9"/>
      <c r="G86" s="22">
        <f>Source!AN40</f>
        <v>0.7</v>
      </c>
      <c r="H86" s="21" t="str">
        <f>Source!DF40</f>
        <v/>
      </c>
      <c r="I86" s="9">
        <f>Source!AV40</f>
        <v>1</v>
      </c>
      <c r="J86" s="9">
        <f>IF(Source!BS40&lt;&gt; 0, Source!BS40, 1)</f>
        <v>1</v>
      </c>
      <c r="K86" s="27">
        <f>Source!R40</f>
        <v>0.64</v>
      </c>
      <c r="L86" s="22"/>
    </row>
    <row r="87" spans="1:22" ht="14.25" x14ac:dyDescent="0.2">
      <c r="A87" s="19"/>
      <c r="B87" s="19"/>
      <c r="C87" s="19"/>
      <c r="D87" s="19" t="s">
        <v>508</v>
      </c>
      <c r="E87" s="20"/>
      <c r="F87" s="9"/>
      <c r="G87" s="22">
        <f>Source!AL40</f>
        <v>776.55</v>
      </c>
      <c r="H87" s="21" t="str">
        <f>Source!DD40</f>
        <v/>
      </c>
      <c r="I87" s="9">
        <f>Source!AW40</f>
        <v>1</v>
      </c>
      <c r="J87" s="9">
        <f>IF(Source!BC40&lt;&gt; 0, Source!BC40, 1)</f>
        <v>1</v>
      </c>
      <c r="K87" s="22">
        <f>Source!P40</f>
        <v>706.66</v>
      </c>
      <c r="L87" s="22"/>
    </row>
    <row r="88" spans="1:22" ht="14.25" x14ac:dyDescent="0.2">
      <c r="A88" s="19"/>
      <c r="B88" s="19"/>
      <c r="C88" s="19"/>
      <c r="D88" s="19" t="s">
        <v>501</v>
      </c>
      <c r="E88" s="20" t="s">
        <v>502</v>
      </c>
      <c r="F88" s="9">
        <f>Source!AT40</f>
        <v>70</v>
      </c>
      <c r="G88" s="22"/>
      <c r="H88" s="21"/>
      <c r="I88" s="9"/>
      <c r="J88" s="9"/>
      <c r="K88" s="22">
        <f>SUM(R82:R87)</f>
        <v>49052.65</v>
      </c>
      <c r="L88" s="22"/>
    </row>
    <row r="89" spans="1:22" ht="14.25" x14ac:dyDescent="0.2">
      <c r="A89" s="19"/>
      <c r="B89" s="19"/>
      <c r="C89" s="19"/>
      <c r="D89" s="19" t="s">
        <v>503</v>
      </c>
      <c r="E89" s="20" t="s">
        <v>502</v>
      </c>
      <c r="F89" s="9">
        <f>Source!AU40</f>
        <v>10</v>
      </c>
      <c r="G89" s="22"/>
      <c r="H89" s="21"/>
      <c r="I89" s="9"/>
      <c r="J89" s="9"/>
      <c r="K89" s="22">
        <f>SUM(T82:T88)</f>
        <v>7007.52</v>
      </c>
      <c r="L89" s="22"/>
    </row>
    <row r="90" spans="1:22" ht="14.25" x14ac:dyDescent="0.2">
      <c r="A90" s="19"/>
      <c r="B90" s="19"/>
      <c r="C90" s="19"/>
      <c r="D90" s="19" t="s">
        <v>509</v>
      </c>
      <c r="E90" s="20" t="s">
        <v>502</v>
      </c>
      <c r="F90" s="9">
        <f>108</f>
        <v>108</v>
      </c>
      <c r="G90" s="22"/>
      <c r="H90" s="21"/>
      <c r="I90" s="9"/>
      <c r="J90" s="9"/>
      <c r="K90" s="22">
        <f>SUM(V82:V89)</f>
        <v>0.69</v>
      </c>
      <c r="L90" s="22"/>
    </row>
    <row r="91" spans="1:22" ht="14.25" x14ac:dyDescent="0.2">
      <c r="A91" s="19"/>
      <c r="B91" s="19"/>
      <c r="C91" s="19"/>
      <c r="D91" s="19" t="s">
        <v>504</v>
      </c>
      <c r="E91" s="20" t="s">
        <v>505</v>
      </c>
      <c r="F91" s="9">
        <f>Source!AQ40</f>
        <v>151.93</v>
      </c>
      <c r="G91" s="22"/>
      <c r="H91" s="21" t="str">
        <f>Source!DI40</f>
        <v/>
      </c>
      <c r="I91" s="9">
        <f>Source!AV40</f>
        <v>1</v>
      </c>
      <c r="J91" s="9"/>
      <c r="K91" s="22"/>
      <c r="L91" s="22">
        <f>Source!U40</f>
        <v>138.25630000000001</v>
      </c>
    </row>
    <row r="92" spans="1:22" ht="15" x14ac:dyDescent="0.25">
      <c r="A92" s="25"/>
      <c r="B92" s="25"/>
      <c r="C92" s="25"/>
      <c r="D92" s="25"/>
      <c r="E92" s="25"/>
      <c r="F92" s="25"/>
      <c r="G92" s="25"/>
      <c r="H92" s="25"/>
      <c r="I92" s="25"/>
      <c r="J92" s="52">
        <f>K84+K85+K87+K88+K89+K90</f>
        <v>126899.00000000001</v>
      </c>
      <c r="K92" s="52"/>
      <c r="L92" s="26">
        <f>IF(Source!I40&lt;&gt;0, ROUND(J92/Source!I40, 2), 0)</f>
        <v>139449.45000000001</v>
      </c>
      <c r="P92" s="24">
        <f>J92</f>
        <v>126899.00000000001</v>
      </c>
    </row>
    <row r="93" spans="1:22" ht="28.5" x14ac:dyDescent="0.2">
      <c r="A93" s="19">
        <v>6</v>
      </c>
      <c r="B93" s="19">
        <v>6</v>
      </c>
      <c r="C93" s="19" t="str">
        <f>Source!F41</f>
        <v>1.16-3201-2-3/1</v>
      </c>
      <c r="D93" s="19" t="str">
        <f>Source!G41</f>
        <v>Укрепление расшатавшихся санитарно-технических приборов - писсуары</v>
      </c>
      <c r="E93" s="20" t="str">
        <f>Source!H41</f>
        <v>100 шт.</v>
      </c>
      <c r="F93" s="9">
        <f>Source!I41</f>
        <v>0.14000000000000001</v>
      </c>
      <c r="G93" s="22"/>
      <c r="H93" s="21"/>
      <c r="I93" s="9"/>
      <c r="J93" s="9"/>
      <c r="K93" s="22"/>
      <c r="L93" s="22"/>
      <c r="Q93">
        <f>ROUND((Source!BZ41/100)*ROUND((Source!AF41*Source!AV41)*Source!I41, 2), 2)</f>
        <v>5587.03</v>
      </c>
      <c r="R93">
        <f>Source!X41</f>
        <v>5587.03</v>
      </c>
      <c r="S93">
        <f>ROUND((Source!CA41/100)*ROUND((Source!AF41*Source!AV41)*Source!I41, 2), 2)</f>
        <v>798.15</v>
      </c>
      <c r="T93">
        <f>Source!Y41</f>
        <v>798.15</v>
      </c>
      <c r="U93">
        <f>ROUND((175/100)*ROUND((Source!AE41*Source!AV41)*Source!I41, 2), 2)</f>
        <v>0.18</v>
      </c>
      <c r="V93">
        <f>ROUND((108/100)*ROUND(Source!CS41*Source!I41, 2), 2)</f>
        <v>0.11</v>
      </c>
    </row>
    <row r="94" spans="1:22" x14ac:dyDescent="0.2">
      <c r="D94" s="23" t="str">
        <f>"Объем: "&amp;Source!I41&amp;"=2*"&amp;"7/"&amp;"100"</f>
        <v>Объем: 0,14=2*7/100</v>
      </c>
    </row>
    <row r="95" spans="1:22" ht="14.25" x14ac:dyDescent="0.2">
      <c r="A95" s="19"/>
      <c r="B95" s="19"/>
      <c r="C95" s="19"/>
      <c r="D95" s="19" t="s">
        <v>500</v>
      </c>
      <c r="E95" s="20"/>
      <c r="F95" s="9"/>
      <c r="G95" s="22">
        <f>Source!AO41</f>
        <v>57010.49</v>
      </c>
      <c r="H95" s="21" t="str">
        <f>Source!DG41</f>
        <v/>
      </c>
      <c r="I95" s="9">
        <f>Source!AV41</f>
        <v>1</v>
      </c>
      <c r="J95" s="9">
        <f>IF(Source!BA41&lt;&gt; 0, Source!BA41, 1)</f>
        <v>1</v>
      </c>
      <c r="K95" s="22">
        <f>Source!S41</f>
        <v>7981.47</v>
      </c>
      <c r="L95" s="22"/>
    </row>
    <row r="96" spans="1:22" ht="14.25" x14ac:dyDescent="0.2">
      <c r="A96" s="19"/>
      <c r="B96" s="19"/>
      <c r="C96" s="19"/>
      <c r="D96" s="19" t="s">
        <v>506</v>
      </c>
      <c r="E96" s="20"/>
      <c r="F96" s="9"/>
      <c r="G96" s="22">
        <f>Source!AM41</f>
        <v>61.83</v>
      </c>
      <c r="H96" s="21" t="str">
        <f>Source!DE41</f>
        <v/>
      </c>
      <c r="I96" s="9">
        <f>Source!AV41</f>
        <v>1</v>
      </c>
      <c r="J96" s="9">
        <f>IF(Source!BB41&lt;&gt; 0, Source!BB41, 1)</f>
        <v>1</v>
      </c>
      <c r="K96" s="22">
        <f>Source!Q41</f>
        <v>8.66</v>
      </c>
      <c r="L96" s="22"/>
    </row>
    <row r="97" spans="1:22" ht="14.25" x14ac:dyDescent="0.2">
      <c r="A97" s="19"/>
      <c r="B97" s="19"/>
      <c r="C97" s="19"/>
      <c r="D97" s="19" t="s">
        <v>507</v>
      </c>
      <c r="E97" s="20"/>
      <c r="F97" s="9"/>
      <c r="G97" s="22">
        <f>Source!AN41</f>
        <v>0.7</v>
      </c>
      <c r="H97" s="21" t="str">
        <f>Source!DF41</f>
        <v/>
      </c>
      <c r="I97" s="9">
        <f>Source!AV41</f>
        <v>1</v>
      </c>
      <c r="J97" s="9">
        <f>IF(Source!BS41&lt;&gt; 0, Source!BS41, 1)</f>
        <v>1</v>
      </c>
      <c r="K97" s="27">
        <f>Source!R41</f>
        <v>0.1</v>
      </c>
      <c r="L97" s="22"/>
    </row>
    <row r="98" spans="1:22" ht="14.25" x14ac:dyDescent="0.2">
      <c r="A98" s="19"/>
      <c r="B98" s="19"/>
      <c r="C98" s="19"/>
      <c r="D98" s="19" t="s">
        <v>508</v>
      </c>
      <c r="E98" s="20"/>
      <c r="F98" s="9"/>
      <c r="G98" s="22">
        <f>Source!AL41</f>
        <v>776.55</v>
      </c>
      <c r="H98" s="21" t="str">
        <f>Source!DD41</f>
        <v/>
      </c>
      <c r="I98" s="9">
        <f>Source!AW41</f>
        <v>1</v>
      </c>
      <c r="J98" s="9">
        <f>IF(Source!BC41&lt;&gt; 0, Source!BC41, 1)</f>
        <v>1</v>
      </c>
      <c r="K98" s="22">
        <f>Source!P41</f>
        <v>108.72</v>
      </c>
      <c r="L98" s="22"/>
    </row>
    <row r="99" spans="1:22" ht="14.25" x14ac:dyDescent="0.2">
      <c r="A99" s="19"/>
      <c r="B99" s="19"/>
      <c r="C99" s="19"/>
      <c r="D99" s="19" t="s">
        <v>501</v>
      </c>
      <c r="E99" s="20" t="s">
        <v>502</v>
      </c>
      <c r="F99" s="9">
        <f>Source!AT41</f>
        <v>70</v>
      </c>
      <c r="G99" s="22"/>
      <c r="H99" s="21"/>
      <c r="I99" s="9"/>
      <c r="J99" s="9"/>
      <c r="K99" s="22">
        <f>SUM(R93:R98)</f>
        <v>5587.03</v>
      </c>
      <c r="L99" s="22"/>
    </row>
    <row r="100" spans="1:22" ht="14.25" x14ac:dyDescent="0.2">
      <c r="A100" s="19"/>
      <c r="B100" s="19"/>
      <c r="C100" s="19"/>
      <c r="D100" s="19" t="s">
        <v>503</v>
      </c>
      <c r="E100" s="20" t="s">
        <v>502</v>
      </c>
      <c r="F100" s="9">
        <f>Source!AU41</f>
        <v>10</v>
      </c>
      <c r="G100" s="22"/>
      <c r="H100" s="21"/>
      <c r="I100" s="9"/>
      <c r="J100" s="9"/>
      <c r="K100" s="22">
        <f>SUM(T93:T99)</f>
        <v>798.15</v>
      </c>
      <c r="L100" s="22"/>
    </row>
    <row r="101" spans="1:22" ht="14.25" x14ac:dyDescent="0.2">
      <c r="A101" s="19"/>
      <c r="B101" s="19"/>
      <c r="C101" s="19"/>
      <c r="D101" s="19" t="s">
        <v>509</v>
      </c>
      <c r="E101" s="20" t="s">
        <v>502</v>
      </c>
      <c r="F101" s="9">
        <f>108</f>
        <v>108</v>
      </c>
      <c r="G101" s="22"/>
      <c r="H101" s="21"/>
      <c r="I101" s="9"/>
      <c r="J101" s="9"/>
      <c r="K101" s="22">
        <f>SUM(V93:V100)</f>
        <v>0.11</v>
      </c>
      <c r="L101" s="22"/>
    </row>
    <row r="102" spans="1:22" ht="14.25" x14ac:dyDescent="0.2">
      <c r="A102" s="19"/>
      <c r="B102" s="19"/>
      <c r="C102" s="19"/>
      <c r="D102" s="19" t="s">
        <v>504</v>
      </c>
      <c r="E102" s="20" t="s">
        <v>505</v>
      </c>
      <c r="F102" s="9">
        <f>Source!AQ41</f>
        <v>112.48</v>
      </c>
      <c r="G102" s="22"/>
      <c r="H102" s="21" t="str">
        <f>Source!DI41</f>
        <v/>
      </c>
      <c r="I102" s="9">
        <f>Source!AV41</f>
        <v>1</v>
      </c>
      <c r="J102" s="9"/>
      <c r="K102" s="22"/>
      <c r="L102" s="22">
        <f>Source!U41</f>
        <v>15.747200000000001</v>
      </c>
    </row>
    <row r="103" spans="1:22" ht="15" x14ac:dyDescent="0.25">
      <c r="A103" s="25"/>
      <c r="B103" s="25"/>
      <c r="C103" s="25"/>
      <c r="D103" s="25"/>
      <c r="E103" s="25"/>
      <c r="F103" s="25"/>
      <c r="G103" s="25"/>
      <c r="H103" s="25"/>
      <c r="I103" s="25"/>
      <c r="J103" s="52">
        <f>K95+K96+K98+K99+K100+K101</f>
        <v>14484.140000000001</v>
      </c>
      <c r="K103" s="52"/>
      <c r="L103" s="26">
        <f>IF(Source!I41&lt;&gt;0, ROUND(J103/Source!I41, 2), 0)</f>
        <v>103458.14</v>
      </c>
      <c r="P103" s="24">
        <f>J103</f>
        <v>14484.140000000001</v>
      </c>
    </row>
    <row r="104" spans="1:22" ht="57" x14ac:dyDescent="0.2">
      <c r="A104" s="19">
        <v>7</v>
      </c>
      <c r="B104" s="19">
        <v>7</v>
      </c>
      <c r="C104" s="19" t="str">
        <f>Source!F43</f>
        <v>1.15-2203-7-1/1</v>
      </c>
      <c r="D104" s="19" t="str">
        <f>Source!G43</f>
        <v>Техническое обслуживание крана шарового латунного никелированного диаметром до 25 мм / Кран смывной для писуара</v>
      </c>
      <c r="E104" s="20" t="str">
        <f>Source!H43</f>
        <v>10 шт.</v>
      </c>
      <c r="F104" s="9">
        <f>Source!I43</f>
        <v>14</v>
      </c>
      <c r="G104" s="22"/>
      <c r="H104" s="21"/>
      <c r="I104" s="9"/>
      <c r="J104" s="9"/>
      <c r="K104" s="22"/>
      <c r="L104" s="22"/>
      <c r="Q104">
        <f>ROUND((Source!BZ43/100)*ROUND((Source!AF43*Source!AV43)*Source!I43, 2), 2)</f>
        <v>2723.13</v>
      </c>
      <c r="R104">
        <f>Source!X43</f>
        <v>2723.13</v>
      </c>
      <c r="S104">
        <f>ROUND((Source!CA43/100)*ROUND((Source!AF43*Source!AV43)*Source!I43, 2), 2)</f>
        <v>389.02</v>
      </c>
      <c r="T104">
        <f>Source!Y43</f>
        <v>389.02</v>
      </c>
      <c r="U104">
        <f>ROUND((175/100)*ROUND((Source!AE43*Source!AV43)*Source!I43, 2), 2)</f>
        <v>0</v>
      </c>
      <c r="V104">
        <f>ROUND((108/100)*ROUND(Source!CS43*Source!I43, 2), 2)</f>
        <v>0</v>
      </c>
    </row>
    <row r="105" spans="1:22" x14ac:dyDescent="0.2">
      <c r="D105" s="23" t="str">
        <f>"Объем: "&amp;Source!I43&amp;"=2*"&amp;"7"</f>
        <v>Объем: 14=2*7</v>
      </c>
    </row>
    <row r="106" spans="1:22" ht="14.25" x14ac:dyDescent="0.2">
      <c r="A106" s="19"/>
      <c r="B106" s="19"/>
      <c r="C106" s="19"/>
      <c r="D106" s="19" t="s">
        <v>500</v>
      </c>
      <c r="E106" s="20"/>
      <c r="F106" s="9"/>
      <c r="G106" s="22">
        <f>Source!AO43</f>
        <v>277.87</v>
      </c>
      <c r="H106" s="21" t="str">
        <f>Source!DG43</f>
        <v/>
      </c>
      <c r="I106" s="9">
        <f>Source!AV43</f>
        <v>1</v>
      </c>
      <c r="J106" s="9">
        <f>IF(Source!BA43&lt;&gt; 0, Source!BA43, 1)</f>
        <v>1</v>
      </c>
      <c r="K106" s="22">
        <f>Source!S43</f>
        <v>3890.18</v>
      </c>
      <c r="L106" s="22"/>
    </row>
    <row r="107" spans="1:22" ht="14.25" x14ac:dyDescent="0.2">
      <c r="A107" s="19"/>
      <c r="B107" s="19"/>
      <c r="C107" s="19"/>
      <c r="D107" s="19" t="s">
        <v>501</v>
      </c>
      <c r="E107" s="20" t="s">
        <v>502</v>
      </c>
      <c r="F107" s="9">
        <f>Source!AT43</f>
        <v>70</v>
      </c>
      <c r="G107" s="22"/>
      <c r="H107" s="21"/>
      <c r="I107" s="9"/>
      <c r="J107" s="9"/>
      <c r="K107" s="22">
        <f>SUM(R104:R106)</f>
        <v>2723.13</v>
      </c>
      <c r="L107" s="22"/>
    </row>
    <row r="108" spans="1:22" ht="14.25" x14ac:dyDescent="0.2">
      <c r="A108" s="19"/>
      <c r="B108" s="19"/>
      <c r="C108" s="19"/>
      <c r="D108" s="19" t="s">
        <v>503</v>
      </c>
      <c r="E108" s="20" t="s">
        <v>502</v>
      </c>
      <c r="F108" s="9">
        <f>Source!AU43</f>
        <v>10</v>
      </c>
      <c r="G108" s="22"/>
      <c r="H108" s="21"/>
      <c r="I108" s="9"/>
      <c r="J108" s="9"/>
      <c r="K108" s="22">
        <f>SUM(T104:T107)</f>
        <v>389.02</v>
      </c>
      <c r="L108" s="22"/>
    </row>
    <row r="109" spans="1:22" ht="14.25" x14ac:dyDescent="0.2">
      <c r="A109" s="19"/>
      <c r="B109" s="19"/>
      <c r="C109" s="19"/>
      <c r="D109" s="19" t="s">
        <v>504</v>
      </c>
      <c r="E109" s="20" t="s">
        <v>505</v>
      </c>
      <c r="F109" s="9">
        <f>Source!AQ43</f>
        <v>0.45</v>
      </c>
      <c r="G109" s="22"/>
      <c r="H109" s="21" t="str">
        <f>Source!DI43</f>
        <v/>
      </c>
      <c r="I109" s="9">
        <f>Source!AV43</f>
        <v>1</v>
      </c>
      <c r="J109" s="9"/>
      <c r="K109" s="22"/>
      <c r="L109" s="22">
        <f>Source!U43</f>
        <v>6.3</v>
      </c>
    </row>
    <row r="110" spans="1:22" ht="15" x14ac:dyDescent="0.25">
      <c r="A110" s="25"/>
      <c r="B110" s="25"/>
      <c r="C110" s="25"/>
      <c r="D110" s="25"/>
      <c r="E110" s="25"/>
      <c r="F110" s="25"/>
      <c r="G110" s="25"/>
      <c r="H110" s="25"/>
      <c r="I110" s="25"/>
      <c r="J110" s="52">
        <f>K106+K107+K108</f>
        <v>7002.33</v>
      </c>
      <c r="K110" s="52"/>
      <c r="L110" s="26">
        <f>IF(Source!I43&lt;&gt;0, ROUND(J110/Source!I43, 2), 0)</f>
        <v>500.17</v>
      </c>
      <c r="P110" s="24">
        <f>J110</f>
        <v>7002.33</v>
      </c>
    </row>
    <row r="111" spans="1:22" ht="42.75" x14ac:dyDescent="0.2">
      <c r="A111" s="19">
        <v>8</v>
      </c>
      <c r="B111" s="19">
        <v>8</v>
      </c>
      <c r="C111" s="19" t="str">
        <f>Source!F44</f>
        <v>1.23-2103-41-1/1</v>
      </c>
      <c r="D111" s="19" t="str">
        <f>Source!G44</f>
        <v>Техническое обслуживание регулирующего клапана / Смеситель для раковины</v>
      </c>
      <c r="E111" s="20" t="str">
        <f>Source!H44</f>
        <v>шт.</v>
      </c>
      <c r="F111" s="9">
        <f>Source!I44</f>
        <v>56</v>
      </c>
      <c r="G111" s="22"/>
      <c r="H111" s="21"/>
      <c r="I111" s="9"/>
      <c r="J111" s="9"/>
      <c r="K111" s="22"/>
      <c r="L111" s="22"/>
      <c r="Q111">
        <f>ROUND((Source!BZ44/100)*ROUND((Source!AF44*Source!AV44)*Source!I44, 2), 2)</f>
        <v>8153.6</v>
      </c>
      <c r="R111">
        <f>Source!X44</f>
        <v>8153.6</v>
      </c>
      <c r="S111">
        <f>ROUND((Source!CA44/100)*ROUND((Source!AF44*Source!AV44)*Source!I44, 2), 2)</f>
        <v>1164.8</v>
      </c>
      <c r="T111">
        <f>Source!Y44</f>
        <v>1164.8</v>
      </c>
      <c r="U111">
        <f>ROUND((175/100)*ROUND((Source!AE44*Source!AV44)*Source!I44, 2), 2)</f>
        <v>4857.8599999999997</v>
      </c>
      <c r="V111">
        <f>ROUND((108/100)*ROUND(Source!CS44*Source!I44, 2), 2)</f>
        <v>2997.99</v>
      </c>
    </row>
    <row r="112" spans="1:22" x14ac:dyDescent="0.2">
      <c r="D112" s="23" t="str">
        <f>"Объем: "&amp;Source!I44&amp;"=(8)*"&amp;"7"</f>
        <v>Объем: 56=(8)*7</v>
      </c>
    </row>
    <row r="113" spans="1:22" ht="14.25" x14ac:dyDescent="0.2">
      <c r="A113" s="19"/>
      <c r="B113" s="19"/>
      <c r="C113" s="19"/>
      <c r="D113" s="19" t="s">
        <v>500</v>
      </c>
      <c r="E113" s="20"/>
      <c r="F113" s="9"/>
      <c r="G113" s="22">
        <f>Source!AO44</f>
        <v>208</v>
      </c>
      <c r="H113" s="21" t="str">
        <f>Source!DG44</f>
        <v/>
      </c>
      <c r="I113" s="9">
        <f>Source!AV44</f>
        <v>1</v>
      </c>
      <c r="J113" s="9">
        <f>IF(Source!BA44&lt;&gt; 0, Source!BA44, 1)</f>
        <v>1</v>
      </c>
      <c r="K113" s="22">
        <f>Source!S44</f>
        <v>11648</v>
      </c>
      <c r="L113" s="22"/>
    </row>
    <row r="114" spans="1:22" ht="14.25" x14ac:dyDescent="0.2">
      <c r="A114" s="19"/>
      <c r="B114" s="19"/>
      <c r="C114" s="19"/>
      <c r="D114" s="19" t="s">
        <v>506</v>
      </c>
      <c r="E114" s="20"/>
      <c r="F114" s="9"/>
      <c r="G114" s="22">
        <f>Source!AM44</f>
        <v>78.180000000000007</v>
      </c>
      <c r="H114" s="21" t="str">
        <f>Source!DE44</f>
        <v/>
      </c>
      <c r="I114" s="9">
        <f>Source!AV44</f>
        <v>1</v>
      </c>
      <c r="J114" s="9">
        <f>IF(Source!BB44&lt;&gt; 0, Source!BB44, 1)</f>
        <v>1</v>
      </c>
      <c r="K114" s="22">
        <f>Source!Q44</f>
        <v>4378.08</v>
      </c>
      <c r="L114" s="22"/>
    </row>
    <row r="115" spans="1:22" ht="14.25" x14ac:dyDescent="0.2">
      <c r="A115" s="19"/>
      <c r="B115" s="19"/>
      <c r="C115" s="19"/>
      <c r="D115" s="19" t="s">
        <v>507</v>
      </c>
      <c r="E115" s="20"/>
      <c r="F115" s="9"/>
      <c r="G115" s="22">
        <f>Source!AN44</f>
        <v>49.57</v>
      </c>
      <c r="H115" s="21" t="str">
        <f>Source!DF44</f>
        <v/>
      </c>
      <c r="I115" s="9">
        <f>Source!AV44</f>
        <v>1</v>
      </c>
      <c r="J115" s="9">
        <f>IF(Source!BS44&lt;&gt; 0, Source!BS44, 1)</f>
        <v>1</v>
      </c>
      <c r="K115" s="27">
        <f>Source!R44</f>
        <v>2775.92</v>
      </c>
      <c r="L115" s="22"/>
    </row>
    <row r="116" spans="1:22" ht="14.25" x14ac:dyDescent="0.2">
      <c r="A116" s="19"/>
      <c r="B116" s="19"/>
      <c r="C116" s="19"/>
      <c r="D116" s="19" t="s">
        <v>501</v>
      </c>
      <c r="E116" s="20" t="s">
        <v>502</v>
      </c>
      <c r="F116" s="9">
        <f>Source!AT44</f>
        <v>70</v>
      </c>
      <c r="G116" s="22"/>
      <c r="H116" s="21"/>
      <c r="I116" s="9"/>
      <c r="J116" s="9"/>
      <c r="K116" s="22">
        <f>SUM(R111:R115)</f>
        <v>8153.6</v>
      </c>
      <c r="L116" s="22"/>
    </row>
    <row r="117" spans="1:22" ht="14.25" x14ac:dyDescent="0.2">
      <c r="A117" s="19"/>
      <c r="B117" s="19"/>
      <c r="C117" s="19"/>
      <c r="D117" s="19" t="s">
        <v>503</v>
      </c>
      <c r="E117" s="20" t="s">
        <v>502</v>
      </c>
      <c r="F117" s="9">
        <f>Source!AU44</f>
        <v>10</v>
      </c>
      <c r="G117" s="22"/>
      <c r="H117" s="21"/>
      <c r="I117" s="9"/>
      <c r="J117" s="9"/>
      <c r="K117" s="22">
        <f>SUM(T111:T116)</f>
        <v>1164.8</v>
      </c>
      <c r="L117" s="22"/>
    </row>
    <row r="118" spans="1:22" ht="14.25" x14ac:dyDescent="0.2">
      <c r="A118" s="19"/>
      <c r="B118" s="19"/>
      <c r="C118" s="19"/>
      <c r="D118" s="19" t="s">
        <v>509</v>
      </c>
      <c r="E118" s="20" t="s">
        <v>502</v>
      </c>
      <c r="F118" s="9">
        <f>108</f>
        <v>108</v>
      </c>
      <c r="G118" s="22"/>
      <c r="H118" s="21"/>
      <c r="I118" s="9"/>
      <c r="J118" s="9"/>
      <c r="K118" s="22">
        <f>SUM(V111:V117)</f>
        <v>2997.99</v>
      </c>
      <c r="L118" s="22"/>
    </row>
    <row r="119" spans="1:22" ht="14.25" x14ac:dyDescent="0.2">
      <c r="A119" s="19"/>
      <c r="B119" s="19"/>
      <c r="C119" s="19"/>
      <c r="D119" s="19" t="s">
        <v>504</v>
      </c>
      <c r="E119" s="20" t="s">
        <v>505</v>
      </c>
      <c r="F119" s="9">
        <f>Source!AQ44</f>
        <v>0.37</v>
      </c>
      <c r="G119" s="22"/>
      <c r="H119" s="21" t="str">
        <f>Source!DI44</f>
        <v/>
      </c>
      <c r="I119" s="9">
        <f>Source!AV44</f>
        <v>1</v>
      </c>
      <c r="J119" s="9"/>
      <c r="K119" s="22"/>
      <c r="L119" s="22">
        <f>Source!U44</f>
        <v>20.72</v>
      </c>
    </row>
    <row r="120" spans="1:22" ht="15" x14ac:dyDescent="0.25">
      <c r="A120" s="25"/>
      <c r="B120" s="25"/>
      <c r="C120" s="25"/>
      <c r="D120" s="25"/>
      <c r="E120" s="25"/>
      <c r="F120" s="25"/>
      <c r="G120" s="25"/>
      <c r="H120" s="25"/>
      <c r="I120" s="25"/>
      <c r="J120" s="52">
        <f>K113+K114+K116+K117+K118</f>
        <v>28342.47</v>
      </c>
      <c r="K120" s="52"/>
      <c r="L120" s="26">
        <f>IF(Source!I44&lt;&gt;0, ROUND(J120/Source!I44, 2), 0)</f>
        <v>506.12</v>
      </c>
      <c r="P120" s="24">
        <f>J120</f>
        <v>28342.47</v>
      </c>
    </row>
    <row r="121" spans="1:22" ht="28.5" x14ac:dyDescent="0.2">
      <c r="A121" s="19">
        <v>9</v>
      </c>
      <c r="B121" s="19">
        <v>9</v>
      </c>
      <c r="C121" s="19" t="str">
        <f>Source!F45</f>
        <v>1.16-3201-1-1/1</v>
      </c>
      <c r="D121" s="19" t="str">
        <f>Source!G45</f>
        <v>Регулировка смывного бачка</v>
      </c>
      <c r="E121" s="20" t="str">
        <f>Source!H45</f>
        <v>100 приборов</v>
      </c>
      <c r="F121" s="9">
        <f>Source!I45</f>
        <v>0.91</v>
      </c>
      <c r="G121" s="22"/>
      <c r="H121" s="21"/>
      <c r="I121" s="9"/>
      <c r="J121" s="9"/>
      <c r="K121" s="22"/>
      <c r="L121" s="22"/>
      <c r="Q121">
        <f>ROUND((Source!BZ45/100)*ROUND((Source!AF45*Source!AV45)*Source!I45, 2), 2)</f>
        <v>10125.82</v>
      </c>
      <c r="R121">
        <f>Source!X45</f>
        <v>10125.82</v>
      </c>
      <c r="S121">
        <f>ROUND((Source!CA45/100)*ROUND((Source!AF45*Source!AV45)*Source!I45, 2), 2)</f>
        <v>1446.55</v>
      </c>
      <c r="T121">
        <f>Source!Y45</f>
        <v>1446.55</v>
      </c>
      <c r="U121">
        <f>ROUND((175/100)*ROUND((Source!AE45*Source!AV45)*Source!I45, 2), 2)</f>
        <v>0</v>
      </c>
      <c r="V121">
        <f>ROUND((108/100)*ROUND(Source!CS45*Source!I45, 2), 2)</f>
        <v>0</v>
      </c>
    </row>
    <row r="122" spans="1:22" x14ac:dyDescent="0.2">
      <c r="D122" s="23" t="str">
        <f>"Объем: "&amp;Source!I45&amp;"=13*"&amp;"7/"&amp;"100"</f>
        <v>Объем: 0,91=13*7/100</v>
      </c>
    </row>
    <row r="123" spans="1:22" ht="14.25" x14ac:dyDescent="0.2">
      <c r="A123" s="19"/>
      <c r="B123" s="19"/>
      <c r="C123" s="19"/>
      <c r="D123" s="19" t="s">
        <v>500</v>
      </c>
      <c r="E123" s="20"/>
      <c r="F123" s="9"/>
      <c r="G123" s="22">
        <f>Source!AO45</f>
        <v>15896.11</v>
      </c>
      <c r="H123" s="21" t="str">
        <f>Source!DG45</f>
        <v/>
      </c>
      <c r="I123" s="9">
        <f>Source!AV45</f>
        <v>1</v>
      </c>
      <c r="J123" s="9">
        <f>IF(Source!BA45&lt;&gt; 0, Source!BA45, 1)</f>
        <v>1</v>
      </c>
      <c r="K123" s="22">
        <f>Source!S45</f>
        <v>14465.46</v>
      </c>
      <c r="L123" s="22"/>
    </row>
    <row r="124" spans="1:22" ht="14.25" x14ac:dyDescent="0.2">
      <c r="A124" s="19"/>
      <c r="B124" s="19"/>
      <c r="C124" s="19"/>
      <c r="D124" s="19" t="s">
        <v>501</v>
      </c>
      <c r="E124" s="20" t="s">
        <v>502</v>
      </c>
      <c r="F124" s="9">
        <f>Source!AT45</f>
        <v>70</v>
      </c>
      <c r="G124" s="22"/>
      <c r="H124" s="21"/>
      <c r="I124" s="9"/>
      <c r="J124" s="9"/>
      <c r="K124" s="22">
        <f>SUM(R121:R123)</f>
        <v>10125.82</v>
      </c>
      <c r="L124" s="22"/>
    </row>
    <row r="125" spans="1:22" ht="14.25" x14ac:dyDescent="0.2">
      <c r="A125" s="19"/>
      <c r="B125" s="19"/>
      <c r="C125" s="19"/>
      <c r="D125" s="19" t="s">
        <v>503</v>
      </c>
      <c r="E125" s="20" t="s">
        <v>502</v>
      </c>
      <c r="F125" s="9">
        <f>Source!AU45</f>
        <v>10</v>
      </c>
      <c r="G125" s="22"/>
      <c r="H125" s="21"/>
      <c r="I125" s="9"/>
      <c r="J125" s="9"/>
      <c r="K125" s="22">
        <f>SUM(T121:T124)</f>
        <v>1446.55</v>
      </c>
      <c r="L125" s="22"/>
    </row>
    <row r="126" spans="1:22" ht="14.25" x14ac:dyDescent="0.2">
      <c r="A126" s="19"/>
      <c r="B126" s="19"/>
      <c r="C126" s="19"/>
      <c r="D126" s="19" t="s">
        <v>504</v>
      </c>
      <c r="E126" s="20" t="s">
        <v>505</v>
      </c>
      <c r="F126" s="9">
        <f>Source!AQ45</f>
        <v>26.7</v>
      </c>
      <c r="G126" s="22"/>
      <c r="H126" s="21" t="str">
        <f>Source!DI45</f>
        <v/>
      </c>
      <c r="I126" s="9">
        <f>Source!AV45</f>
        <v>1</v>
      </c>
      <c r="J126" s="9"/>
      <c r="K126" s="22"/>
      <c r="L126" s="22">
        <f>Source!U45</f>
        <v>24.297000000000001</v>
      </c>
    </row>
    <row r="127" spans="1:22" ht="15" x14ac:dyDescent="0.25">
      <c r="A127" s="25"/>
      <c r="B127" s="25"/>
      <c r="C127" s="25"/>
      <c r="D127" s="25"/>
      <c r="E127" s="25"/>
      <c r="F127" s="25"/>
      <c r="G127" s="25"/>
      <c r="H127" s="25"/>
      <c r="I127" s="25"/>
      <c r="J127" s="52">
        <f>K123+K124+K125</f>
        <v>26037.829999999998</v>
      </c>
      <c r="K127" s="52"/>
      <c r="L127" s="26">
        <f>IF(Source!I45&lt;&gt;0, ROUND(J127/Source!I45, 2), 0)</f>
        <v>28613</v>
      </c>
      <c r="P127" s="24">
        <f>J127</f>
        <v>26037.829999999998</v>
      </c>
    </row>
    <row r="128" spans="1:22" ht="28.5" x14ac:dyDescent="0.2">
      <c r="A128" s="19">
        <v>10</v>
      </c>
      <c r="B128" s="19">
        <v>10</v>
      </c>
      <c r="C128" s="19" t="str">
        <f>Source!F46</f>
        <v>1.16-2203-1-1/1</v>
      </c>
      <c r="D128" s="19" t="str">
        <f>Source!G46</f>
        <v>Прочистка сифонов</v>
      </c>
      <c r="E128" s="20" t="str">
        <f>Source!H46</f>
        <v>100 шт.</v>
      </c>
      <c r="F128" s="9">
        <f>Source!I46</f>
        <v>0.7</v>
      </c>
      <c r="G128" s="22"/>
      <c r="H128" s="21"/>
      <c r="I128" s="9"/>
      <c r="J128" s="9"/>
      <c r="K128" s="22"/>
      <c r="L128" s="22"/>
      <c r="Q128">
        <f>ROUND((Source!BZ46/100)*ROUND((Source!AF46*Source!AV46)*Source!I46, 2), 2)</f>
        <v>27835.8</v>
      </c>
      <c r="R128">
        <f>Source!X46</f>
        <v>27835.8</v>
      </c>
      <c r="S128">
        <f>ROUND((Source!CA46/100)*ROUND((Source!AF46*Source!AV46)*Source!I46, 2), 2)</f>
        <v>3976.54</v>
      </c>
      <c r="T128">
        <f>Source!Y46</f>
        <v>3976.54</v>
      </c>
      <c r="U128">
        <f>ROUND((175/100)*ROUND((Source!AE46*Source!AV46)*Source!I46, 2), 2)</f>
        <v>0</v>
      </c>
      <c r="V128">
        <f>ROUND((108/100)*ROUND(Source!CS46*Source!I46, 2), 2)</f>
        <v>0</v>
      </c>
    </row>
    <row r="129" spans="1:22" x14ac:dyDescent="0.2">
      <c r="D129" s="23" t="str">
        <f>"Объем: "&amp;Source!I46&amp;"=(8+"&amp;"2)*"&amp;"7/"&amp;"100"</f>
        <v>Объем: 0,7=(8+2)*7/100</v>
      </c>
    </row>
    <row r="130" spans="1:22" ht="14.25" x14ac:dyDescent="0.2">
      <c r="A130" s="19"/>
      <c r="B130" s="19"/>
      <c r="C130" s="19"/>
      <c r="D130" s="19" t="s">
        <v>500</v>
      </c>
      <c r="E130" s="20"/>
      <c r="F130" s="9"/>
      <c r="G130" s="22">
        <f>Source!AO46</f>
        <v>14201.94</v>
      </c>
      <c r="H130" s="21" t="str">
        <f>Source!DG46</f>
        <v>)*4</v>
      </c>
      <c r="I130" s="9">
        <f>Source!AV46</f>
        <v>1</v>
      </c>
      <c r="J130" s="9">
        <f>IF(Source!BA46&lt;&gt; 0, Source!BA46, 1)</f>
        <v>1</v>
      </c>
      <c r="K130" s="22">
        <f>Source!S46</f>
        <v>39765.43</v>
      </c>
      <c r="L130" s="22"/>
    </row>
    <row r="131" spans="1:22" ht="14.25" x14ac:dyDescent="0.2">
      <c r="A131" s="19"/>
      <c r="B131" s="19"/>
      <c r="C131" s="19"/>
      <c r="D131" s="19" t="s">
        <v>508</v>
      </c>
      <c r="E131" s="20"/>
      <c r="F131" s="9"/>
      <c r="G131" s="22">
        <f>Source!AL46</f>
        <v>243.57</v>
      </c>
      <c r="H131" s="21" t="str">
        <f>Source!DD46</f>
        <v>)*4</v>
      </c>
      <c r="I131" s="9">
        <f>Source!AW46</f>
        <v>1</v>
      </c>
      <c r="J131" s="9">
        <f>IF(Source!BC46&lt;&gt; 0, Source!BC46, 1)</f>
        <v>1</v>
      </c>
      <c r="K131" s="22">
        <f>Source!P46</f>
        <v>682</v>
      </c>
      <c r="L131" s="22"/>
    </row>
    <row r="132" spans="1:22" ht="14.25" x14ac:dyDescent="0.2">
      <c r="A132" s="19"/>
      <c r="B132" s="19"/>
      <c r="C132" s="19"/>
      <c r="D132" s="19" t="s">
        <v>501</v>
      </c>
      <c r="E132" s="20" t="s">
        <v>502</v>
      </c>
      <c r="F132" s="9">
        <f>Source!AT46</f>
        <v>70</v>
      </c>
      <c r="G132" s="22"/>
      <c r="H132" s="21"/>
      <c r="I132" s="9"/>
      <c r="J132" s="9"/>
      <c r="K132" s="22">
        <f>SUM(R128:R131)</f>
        <v>27835.8</v>
      </c>
      <c r="L132" s="22"/>
    </row>
    <row r="133" spans="1:22" ht="14.25" x14ac:dyDescent="0.2">
      <c r="A133" s="19"/>
      <c r="B133" s="19"/>
      <c r="C133" s="19"/>
      <c r="D133" s="19" t="s">
        <v>503</v>
      </c>
      <c r="E133" s="20" t="s">
        <v>502</v>
      </c>
      <c r="F133" s="9">
        <f>Source!AU46</f>
        <v>10</v>
      </c>
      <c r="G133" s="22"/>
      <c r="H133" s="21"/>
      <c r="I133" s="9"/>
      <c r="J133" s="9"/>
      <c r="K133" s="22">
        <f>SUM(T128:T132)</f>
        <v>3976.54</v>
      </c>
      <c r="L133" s="22"/>
    </row>
    <row r="134" spans="1:22" ht="14.25" x14ac:dyDescent="0.2">
      <c r="A134" s="19"/>
      <c r="B134" s="19"/>
      <c r="C134" s="19"/>
      <c r="D134" s="19" t="s">
        <v>504</v>
      </c>
      <c r="E134" s="20" t="s">
        <v>505</v>
      </c>
      <c r="F134" s="9">
        <f>Source!AQ46</f>
        <v>28.02</v>
      </c>
      <c r="G134" s="22"/>
      <c r="H134" s="21" t="str">
        <f>Source!DI46</f>
        <v>)*4</v>
      </c>
      <c r="I134" s="9">
        <f>Source!AV46</f>
        <v>1</v>
      </c>
      <c r="J134" s="9"/>
      <c r="K134" s="22"/>
      <c r="L134" s="22">
        <f>Source!U46</f>
        <v>78.455999999999989</v>
      </c>
    </row>
    <row r="135" spans="1:22" ht="15" x14ac:dyDescent="0.25">
      <c r="A135" s="25"/>
      <c r="B135" s="25"/>
      <c r="C135" s="25"/>
      <c r="D135" s="25"/>
      <c r="E135" s="25"/>
      <c r="F135" s="25"/>
      <c r="G135" s="25"/>
      <c r="H135" s="25"/>
      <c r="I135" s="25"/>
      <c r="J135" s="52">
        <f>K130+K131+K132+K133</f>
        <v>72259.76999999999</v>
      </c>
      <c r="K135" s="52"/>
      <c r="L135" s="26">
        <f>IF(Source!I46&lt;&gt;0, ROUND(J135/Source!I46, 2), 0)</f>
        <v>103228.24</v>
      </c>
      <c r="P135" s="24">
        <f>J135</f>
        <v>72259.76999999999</v>
      </c>
    </row>
    <row r="136" spans="1:22" ht="28.5" x14ac:dyDescent="0.2">
      <c r="A136" s="19">
        <v>11</v>
      </c>
      <c r="B136" s="19">
        <v>11</v>
      </c>
      <c r="C136" s="19" t="str">
        <f>Source!F49</f>
        <v>1.15-2303-4-1/1</v>
      </c>
      <c r="D136" s="19" t="str">
        <f>Source!G49</f>
        <v>Прочистка сетчатых фильтров грубой очистки воды диаметром до 25 мм</v>
      </c>
      <c r="E136" s="20" t="str">
        <f>Source!H49</f>
        <v>10 шт.</v>
      </c>
      <c r="F136" s="9">
        <f>Source!I49</f>
        <v>0.7</v>
      </c>
      <c r="G136" s="22"/>
      <c r="H136" s="21"/>
      <c r="I136" s="9"/>
      <c r="J136" s="9"/>
      <c r="K136" s="22"/>
      <c r="L136" s="22"/>
      <c r="Q136">
        <f>ROUND((Source!BZ49/100)*ROUND((Source!AF49*Source!AV49)*Source!I49, 2), 2)</f>
        <v>1234.49</v>
      </c>
      <c r="R136">
        <f>Source!X49</f>
        <v>1234.49</v>
      </c>
      <c r="S136">
        <f>ROUND((Source!CA49/100)*ROUND((Source!AF49*Source!AV49)*Source!I49, 2), 2)</f>
        <v>176.36</v>
      </c>
      <c r="T136">
        <f>Source!Y49</f>
        <v>176.36</v>
      </c>
      <c r="U136">
        <f>ROUND((175/100)*ROUND((Source!AE49*Source!AV49)*Source!I49, 2), 2)</f>
        <v>0</v>
      </c>
      <c r="V136">
        <f>ROUND((108/100)*ROUND(Source!CS49*Source!I49, 2), 2)</f>
        <v>0</v>
      </c>
    </row>
    <row r="137" spans="1:22" x14ac:dyDescent="0.2">
      <c r="D137" s="23" t="str">
        <f>"Объем: "&amp;Source!I49&amp;"=1*"&amp;"7/"&amp;"10"</f>
        <v>Объем: 0,7=1*7/10</v>
      </c>
    </row>
    <row r="138" spans="1:22" ht="14.25" x14ac:dyDescent="0.2">
      <c r="A138" s="19"/>
      <c r="B138" s="19"/>
      <c r="C138" s="19"/>
      <c r="D138" s="19" t="s">
        <v>500</v>
      </c>
      <c r="E138" s="20"/>
      <c r="F138" s="9"/>
      <c r="G138" s="22">
        <f>Source!AO49</f>
        <v>1259.68</v>
      </c>
      <c r="H138" s="21" t="str">
        <f>Source!DG49</f>
        <v>)*2</v>
      </c>
      <c r="I138" s="9">
        <f>Source!AV49</f>
        <v>1</v>
      </c>
      <c r="J138" s="9">
        <f>IF(Source!BA49&lt;&gt; 0, Source!BA49, 1)</f>
        <v>1</v>
      </c>
      <c r="K138" s="22">
        <f>Source!S49</f>
        <v>1763.55</v>
      </c>
      <c r="L138" s="22"/>
    </row>
    <row r="139" spans="1:22" ht="14.25" x14ac:dyDescent="0.2">
      <c r="A139" s="19"/>
      <c r="B139" s="19"/>
      <c r="C139" s="19"/>
      <c r="D139" s="19" t="s">
        <v>501</v>
      </c>
      <c r="E139" s="20" t="s">
        <v>502</v>
      </c>
      <c r="F139" s="9">
        <f>Source!AT49</f>
        <v>70</v>
      </c>
      <c r="G139" s="22"/>
      <c r="H139" s="21"/>
      <c r="I139" s="9"/>
      <c r="J139" s="9"/>
      <c r="K139" s="22">
        <f>SUM(R136:R138)</f>
        <v>1234.49</v>
      </c>
      <c r="L139" s="22"/>
    </row>
    <row r="140" spans="1:22" ht="14.25" x14ac:dyDescent="0.2">
      <c r="A140" s="19"/>
      <c r="B140" s="19"/>
      <c r="C140" s="19"/>
      <c r="D140" s="19" t="s">
        <v>503</v>
      </c>
      <c r="E140" s="20" t="s">
        <v>502</v>
      </c>
      <c r="F140" s="9">
        <f>Source!AU49</f>
        <v>10</v>
      </c>
      <c r="G140" s="22"/>
      <c r="H140" s="21"/>
      <c r="I140" s="9"/>
      <c r="J140" s="9"/>
      <c r="K140" s="22">
        <f>SUM(T136:T139)</f>
        <v>176.36</v>
      </c>
      <c r="L140" s="22"/>
    </row>
    <row r="141" spans="1:22" ht="14.25" x14ac:dyDescent="0.2">
      <c r="A141" s="19"/>
      <c r="B141" s="19"/>
      <c r="C141" s="19"/>
      <c r="D141" s="19" t="s">
        <v>504</v>
      </c>
      <c r="E141" s="20" t="s">
        <v>505</v>
      </c>
      <c r="F141" s="9">
        <f>Source!AQ49</f>
        <v>2.04</v>
      </c>
      <c r="G141" s="22"/>
      <c r="H141" s="21" t="str">
        <f>Source!DI49</f>
        <v>)*2</v>
      </c>
      <c r="I141" s="9">
        <f>Source!AV49</f>
        <v>1</v>
      </c>
      <c r="J141" s="9"/>
      <c r="K141" s="22"/>
      <c r="L141" s="22">
        <f>Source!U49</f>
        <v>2.8559999999999999</v>
      </c>
    </row>
    <row r="142" spans="1:22" ht="15" x14ac:dyDescent="0.25">
      <c r="A142" s="25"/>
      <c r="B142" s="25"/>
      <c r="C142" s="25"/>
      <c r="D142" s="25"/>
      <c r="E142" s="25"/>
      <c r="F142" s="25"/>
      <c r="G142" s="25"/>
      <c r="H142" s="25"/>
      <c r="I142" s="25"/>
      <c r="J142" s="52">
        <f>K138+K139+K140</f>
        <v>3174.4</v>
      </c>
      <c r="K142" s="52"/>
      <c r="L142" s="26">
        <f>IF(Source!I49&lt;&gt;0, ROUND(J142/Source!I49, 2), 0)</f>
        <v>4534.8599999999997</v>
      </c>
      <c r="P142" s="24">
        <f>J142</f>
        <v>3174.4</v>
      </c>
    </row>
    <row r="144" spans="1:22" ht="15" x14ac:dyDescent="0.25">
      <c r="A144" s="54" t="str">
        <f>CONCATENATE("Итого по подразделу: ",IF(Source!G54&lt;&gt;"Новый подраздел", Source!G54, ""))</f>
        <v>Итого по подразделу: Система внутреннего водоснабжения и водоотведения</v>
      </c>
      <c r="B144" s="54"/>
      <c r="C144" s="54"/>
      <c r="D144" s="54"/>
      <c r="E144" s="54"/>
      <c r="F144" s="54"/>
      <c r="G144" s="54"/>
      <c r="H144" s="54"/>
      <c r="I144" s="54"/>
      <c r="J144" s="53">
        <f>SUM(P42:P143)</f>
        <v>488633.02</v>
      </c>
      <c r="K144" s="73"/>
      <c r="L144" s="28"/>
    </row>
    <row r="147" spans="1:22" ht="16.5" x14ac:dyDescent="0.25">
      <c r="A147" s="51" t="str">
        <f>CONCATENATE("Подраздел: ",IF(Source!G84&lt;&gt;"Новый подраздел", Source!G84, ""))</f>
        <v>Подраздел: Отопление</v>
      </c>
      <c r="B147" s="51"/>
      <c r="C147" s="51"/>
      <c r="D147" s="51"/>
      <c r="E147" s="51"/>
      <c r="F147" s="51"/>
      <c r="G147" s="51"/>
      <c r="H147" s="51"/>
      <c r="I147" s="51"/>
      <c r="J147" s="51"/>
      <c r="K147" s="51"/>
      <c r="L147" s="51"/>
    </row>
    <row r="148" spans="1:22" ht="57" x14ac:dyDescent="0.2">
      <c r="A148" s="19">
        <v>12</v>
      </c>
      <c r="B148" s="19">
        <v>12</v>
      </c>
      <c r="C148" s="19" t="str">
        <f>Source!F89</f>
        <v>1.21-2303-50-1/1</v>
      </c>
      <c r="D148" s="19" t="str">
        <f>Source!G89</f>
        <v>Техническое обслуживание  конвектора электрического настенного крепления, с механическим термостатом, мощность до 2,0 кВт</v>
      </c>
      <c r="E148" s="20" t="str">
        <f>Source!H89</f>
        <v>шт.</v>
      </c>
      <c r="F148" s="9">
        <f>Source!I89</f>
        <v>14</v>
      </c>
      <c r="G148" s="22"/>
      <c r="H148" s="21"/>
      <c r="I148" s="9"/>
      <c r="J148" s="9"/>
      <c r="K148" s="22"/>
      <c r="L148" s="22"/>
      <c r="Q148">
        <f>ROUND((Source!BZ89/100)*ROUND((Source!AF89*Source!AV89)*Source!I89, 2), 2)</f>
        <v>847.21</v>
      </c>
      <c r="R148">
        <f>Source!X89</f>
        <v>847.21</v>
      </c>
      <c r="S148">
        <f>ROUND((Source!CA89/100)*ROUND((Source!AF89*Source!AV89)*Source!I89, 2), 2)</f>
        <v>121.03</v>
      </c>
      <c r="T148">
        <f>Source!Y89</f>
        <v>121.03</v>
      </c>
      <c r="U148">
        <f>ROUND((175/100)*ROUND((Source!AE89*Source!AV89)*Source!I89, 2), 2)</f>
        <v>0</v>
      </c>
      <c r="V148">
        <f>ROUND((108/100)*ROUND(Source!CS89*Source!I89, 2), 2)</f>
        <v>0</v>
      </c>
    </row>
    <row r="149" spans="1:22" x14ac:dyDescent="0.2">
      <c r="D149" s="23" t="str">
        <f>"Объем: "&amp;Source!I89&amp;"=2*"&amp;"7"</f>
        <v>Объем: 14=2*7</v>
      </c>
    </row>
    <row r="150" spans="1:22" ht="14.25" x14ac:dyDescent="0.2">
      <c r="A150" s="19"/>
      <c r="B150" s="19"/>
      <c r="C150" s="19"/>
      <c r="D150" s="19" t="s">
        <v>500</v>
      </c>
      <c r="E150" s="20"/>
      <c r="F150" s="9"/>
      <c r="G150" s="22">
        <f>Source!AO89</f>
        <v>86.45</v>
      </c>
      <c r="H150" s="21" t="str">
        <f>Source!DG89</f>
        <v/>
      </c>
      <c r="I150" s="9">
        <f>Source!AV89</f>
        <v>1</v>
      </c>
      <c r="J150" s="9">
        <f>IF(Source!BA89&lt;&gt; 0, Source!BA89, 1)</f>
        <v>1</v>
      </c>
      <c r="K150" s="22">
        <f>Source!S89</f>
        <v>1210.3</v>
      </c>
      <c r="L150" s="22"/>
    </row>
    <row r="151" spans="1:22" ht="14.25" x14ac:dyDescent="0.2">
      <c r="A151" s="19"/>
      <c r="B151" s="19"/>
      <c r="C151" s="19"/>
      <c r="D151" s="19" t="s">
        <v>506</v>
      </c>
      <c r="E151" s="20"/>
      <c r="F151" s="9"/>
      <c r="G151" s="22">
        <f>Source!AM89</f>
        <v>0.23</v>
      </c>
      <c r="H151" s="21" t="str">
        <f>Source!DE89</f>
        <v/>
      </c>
      <c r="I151" s="9">
        <f>Source!AV89</f>
        <v>1</v>
      </c>
      <c r="J151" s="9">
        <f>IF(Source!BB89&lt;&gt; 0, Source!BB89, 1)</f>
        <v>1</v>
      </c>
      <c r="K151" s="22">
        <f>Source!Q89</f>
        <v>3.22</v>
      </c>
      <c r="L151" s="22"/>
    </row>
    <row r="152" spans="1:22" ht="14.25" x14ac:dyDescent="0.2">
      <c r="A152" s="19"/>
      <c r="B152" s="19"/>
      <c r="C152" s="19"/>
      <c r="D152" s="19" t="s">
        <v>508</v>
      </c>
      <c r="E152" s="20"/>
      <c r="F152" s="9"/>
      <c r="G152" s="22">
        <f>Source!AL89</f>
        <v>2.2000000000000002</v>
      </c>
      <c r="H152" s="21" t="str">
        <f>Source!DD89</f>
        <v/>
      </c>
      <c r="I152" s="9">
        <f>Source!AW89</f>
        <v>1</v>
      </c>
      <c r="J152" s="9">
        <f>IF(Source!BC89&lt;&gt; 0, Source!BC89, 1)</f>
        <v>1</v>
      </c>
      <c r="K152" s="22">
        <f>Source!P89</f>
        <v>30.8</v>
      </c>
      <c r="L152" s="22"/>
    </row>
    <row r="153" spans="1:22" ht="14.25" x14ac:dyDescent="0.2">
      <c r="A153" s="19"/>
      <c r="B153" s="19"/>
      <c r="C153" s="19"/>
      <c r="D153" s="19" t="s">
        <v>501</v>
      </c>
      <c r="E153" s="20" t="s">
        <v>502</v>
      </c>
      <c r="F153" s="9">
        <f>Source!AT89</f>
        <v>70</v>
      </c>
      <c r="G153" s="22"/>
      <c r="H153" s="21"/>
      <c r="I153" s="9"/>
      <c r="J153" s="9"/>
      <c r="K153" s="22">
        <f>SUM(R148:R152)</f>
        <v>847.21</v>
      </c>
      <c r="L153" s="22"/>
    </row>
    <row r="154" spans="1:22" ht="14.25" x14ac:dyDescent="0.2">
      <c r="A154" s="19"/>
      <c r="B154" s="19"/>
      <c r="C154" s="19"/>
      <c r="D154" s="19" t="s">
        <v>503</v>
      </c>
      <c r="E154" s="20" t="s">
        <v>502</v>
      </c>
      <c r="F154" s="9">
        <f>Source!AU89</f>
        <v>10</v>
      </c>
      <c r="G154" s="22"/>
      <c r="H154" s="21"/>
      <c r="I154" s="9"/>
      <c r="J154" s="9"/>
      <c r="K154" s="22">
        <f>SUM(T148:T153)</f>
        <v>121.03</v>
      </c>
      <c r="L154" s="22"/>
    </row>
    <row r="155" spans="1:22" ht="14.25" x14ac:dyDescent="0.2">
      <c r="A155" s="19"/>
      <c r="B155" s="19"/>
      <c r="C155" s="19"/>
      <c r="D155" s="19" t="s">
        <v>504</v>
      </c>
      <c r="E155" s="20" t="s">
        <v>505</v>
      </c>
      <c r="F155" s="9">
        <f>Source!AQ89</f>
        <v>0.14000000000000001</v>
      </c>
      <c r="G155" s="22"/>
      <c r="H155" s="21" t="str">
        <f>Source!DI89</f>
        <v/>
      </c>
      <c r="I155" s="9">
        <f>Source!AV89</f>
        <v>1</v>
      </c>
      <c r="J155" s="9"/>
      <c r="K155" s="22"/>
      <c r="L155" s="22">
        <f>Source!U89</f>
        <v>1.9600000000000002</v>
      </c>
    </row>
    <row r="156" spans="1:22" ht="15" x14ac:dyDescent="0.25">
      <c r="A156" s="25"/>
      <c r="B156" s="25"/>
      <c r="C156" s="25"/>
      <c r="D156" s="25"/>
      <c r="E156" s="25"/>
      <c r="F156" s="25"/>
      <c r="G156" s="25"/>
      <c r="H156" s="25"/>
      <c r="I156" s="25"/>
      <c r="J156" s="52">
        <f>K150+K151+K152+K153+K154</f>
        <v>2212.56</v>
      </c>
      <c r="K156" s="52"/>
      <c r="L156" s="26">
        <f>IF(Source!I89&lt;&gt;0, ROUND(J156/Source!I89, 2), 0)</f>
        <v>158.04</v>
      </c>
      <c r="P156" s="24">
        <f>J156</f>
        <v>2212.56</v>
      </c>
    </row>
    <row r="158" spans="1:22" ht="15" x14ac:dyDescent="0.25">
      <c r="A158" s="54" t="str">
        <f>CONCATENATE("Итого по подразделу: ",IF(Source!G92&lt;&gt;"Новый подраздел", Source!G92, ""))</f>
        <v>Итого по подразделу: Отопление</v>
      </c>
      <c r="B158" s="54"/>
      <c r="C158" s="54"/>
      <c r="D158" s="54"/>
      <c r="E158" s="54"/>
      <c r="F158" s="54"/>
      <c r="G158" s="54"/>
      <c r="H158" s="54"/>
      <c r="I158" s="54"/>
      <c r="J158" s="53">
        <f>SUM(P147:P157)</f>
        <v>2212.56</v>
      </c>
      <c r="K158" s="73"/>
      <c r="L158" s="28"/>
    </row>
    <row r="161" spans="1:22" ht="16.5" x14ac:dyDescent="0.25">
      <c r="A161" s="51" t="str">
        <f>CONCATENATE("Подраздел: ",IF(Source!G122&lt;&gt;"Новый подраздел", Source!G122, ""))</f>
        <v>Подраздел: Вентиляция и кондиционирование</v>
      </c>
      <c r="B161" s="51"/>
      <c r="C161" s="51"/>
      <c r="D161" s="51"/>
      <c r="E161" s="51"/>
      <c r="F161" s="51"/>
      <c r="G161" s="51"/>
      <c r="H161" s="51"/>
      <c r="I161" s="51"/>
      <c r="J161" s="51"/>
      <c r="K161" s="51"/>
      <c r="L161" s="51"/>
    </row>
    <row r="162" spans="1:22" ht="28.5" x14ac:dyDescent="0.2">
      <c r="A162" s="19">
        <v>13</v>
      </c>
      <c r="B162" s="19">
        <v>13</v>
      </c>
      <c r="C162" s="19" t="str">
        <f>Source!F127</f>
        <v>1.18-2303-3-2/1</v>
      </c>
      <c r="D162" s="19" t="str">
        <f>Source!G127</f>
        <v>Техническое обслуживание канального вентилятора - ежеквартальное</v>
      </c>
      <c r="E162" s="20" t="str">
        <f>Source!H127</f>
        <v>шт.</v>
      </c>
      <c r="F162" s="9">
        <f>Source!I127</f>
        <v>14</v>
      </c>
      <c r="G162" s="22"/>
      <c r="H162" s="21"/>
      <c r="I162" s="9"/>
      <c r="J162" s="9"/>
      <c r="K162" s="22"/>
      <c r="L162" s="22"/>
      <c r="Q162">
        <f>ROUND((Source!BZ127/100)*ROUND((Source!AF127*Source!AV127)*Source!I127, 2), 2)</f>
        <v>20982.39</v>
      </c>
      <c r="R162">
        <f>Source!X127</f>
        <v>20982.39</v>
      </c>
      <c r="S162">
        <f>ROUND((Source!CA127/100)*ROUND((Source!AF127*Source!AV127)*Source!I127, 2), 2)</f>
        <v>2997.48</v>
      </c>
      <c r="T162">
        <f>Source!Y127</f>
        <v>2997.48</v>
      </c>
      <c r="U162">
        <f>ROUND((175/100)*ROUND((Source!AE127*Source!AV127)*Source!I127, 2), 2)</f>
        <v>0</v>
      </c>
      <c r="V162">
        <f>ROUND((108/100)*ROUND(Source!CS127*Source!I127, 2), 2)</f>
        <v>0</v>
      </c>
    </row>
    <row r="163" spans="1:22" x14ac:dyDescent="0.2">
      <c r="D163" s="23" t="str">
        <f>"Объем: "&amp;Source!I127&amp;"=2*"&amp;"7"</f>
        <v>Объем: 14=2*7</v>
      </c>
    </row>
    <row r="164" spans="1:22" ht="14.25" x14ac:dyDescent="0.2">
      <c r="A164" s="19"/>
      <c r="B164" s="19"/>
      <c r="C164" s="19"/>
      <c r="D164" s="19" t="s">
        <v>500</v>
      </c>
      <c r="E164" s="20"/>
      <c r="F164" s="9"/>
      <c r="G164" s="22">
        <f>Source!AO127</f>
        <v>1070.53</v>
      </c>
      <c r="H164" s="21" t="str">
        <f>Source!DG127</f>
        <v>)*2</v>
      </c>
      <c r="I164" s="9">
        <f>Source!AV127</f>
        <v>1</v>
      </c>
      <c r="J164" s="9">
        <f>IF(Source!BA127&lt;&gt; 0, Source!BA127, 1)</f>
        <v>1</v>
      </c>
      <c r="K164" s="22">
        <f>Source!S127</f>
        <v>29974.84</v>
      </c>
      <c r="L164" s="22"/>
    </row>
    <row r="165" spans="1:22" ht="14.25" x14ac:dyDescent="0.2">
      <c r="A165" s="19"/>
      <c r="B165" s="19"/>
      <c r="C165" s="19"/>
      <c r="D165" s="19" t="s">
        <v>501</v>
      </c>
      <c r="E165" s="20" t="s">
        <v>502</v>
      </c>
      <c r="F165" s="9">
        <f>Source!AT127</f>
        <v>70</v>
      </c>
      <c r="G165" s="22"/>
      <c r="H165" s="21"/>
      <c r="I165" s="9"/>
      <c r="J165" s="9"/>
      <c r="K165" s="22">
        <f>SUM(R162:R164)</f>
        <v>20982.39</v>
      </c>
      <c r="L165" s="22"/>
    </row>
    <row r="166" spans="1:22" ht="14.25" x14ac:dyDescent="0.2">
      <c r="A166" s="19"/>
      <c r="B166" s="19"/>
      <c r="C166" s="19"/>
      <c r="D166" s="19" t="s">
        <v>503</v>
      </c>
      <c r="E166" s="20" t="s">
        <v>502</v>
      </c>
      <c r="F166" s="9">
        <f>Source!AU127</f>
        <v>10</v>
      </c>
      <c r="G166" s="22"/>
      <c r="H166" s="21"/>
      <c r="I166" s="9"/>
      <c r="J166" s="9"/>
      <c r="K166" s="22">
        <f>SUM(T162:T165)</f>
        <v>2997.48</v>
      </c>
      <c r="L166" s="22"/>
    </row>
    <row r="167" spans="1:22" ht="14.25" x14ac:dyDescent="0.2">
      <c r="A167" s="19"/>
      <c r="B167" s="19"/>
      <c r="C167" s="19"/>
      <c r="D167" s="19" t="s">
        <v>504</v>
      </c>
      <c r="E167" s="20" t="s">
        <v>505</v>
      </c>
      <c r="F167" s="9">
        <f>Source!AQ127</f>
        <v>1.76</v>
      </c>
      <c r="G167" s="22"/>
      <c r="H167" s="21" t="str">
        <f>Source!DI127</f>
        <v>)*2</v>
      </c>
      <c r="I167" s="9">
        <f>Source!AV127</f>
        <v>1</v>
      </c>
      <c r="J167" s="9"/>
      <c r="K167" s="22"/>
      <c r="L167" s="22">
        <f>Source!U127</f>
        <v>49.28</v>
      </c>
    </row>
    <row r="168" spans="1:22" ht="15" x14ac:dyDescent="0.25">
      <c r="A168" s="25"/>
      <c r="B168" s="25"/>
      <c r="C168" s="25"/>
      <c r="D168" s="25"/>
      <c r="E168" s="25"/>
      <c r="F168" s="25"/>
      <c r="G168" s="25"/>
      <c r="H168" s="25"/>
      <c r="I168" s="25"/>
      <c r="J168" s="52">
        <f>K164+K165+K166</f>
        <v>53954.71</v>
      </c>
      <c r="K168" s="52"/>
      <c r="L168" s="26">
        <f>IF(Source!I127&lt;&gt;0, ROUND(J168/Source!I127, 2), 0)</f>
        <v>3853.91</v>
      </c>
      <c r="P168" s="24">
        <f>J168</f>
        <v>53954.71</v>
      </c>
    </row>
    <row r="169" spans="1:22" ht="42.75" x14ac:dyDescent="0.2">
      <c r="A169" s="19">
        <v>14</v>
      </c>
      <c r="B169" s="19">
        <v>14</v>
      </c>
      <c r="C169" s="19" t="str">
        <f>Source!F129</f>
        <v>1.18-2403-19-5/1</v>
      </c>
      <c r="D169" s="19" t="str">
        <f>Source!G129</f>
        <v>Техническое обслуживание внутренних настенных блоков сплит систем мощностью до 7 кВт - полугодовое</v>
      </c>
      <c r="E169" s="20" t="str">
        <f>Source!H129</f>
        <v>1 блок</v>
      </c>
      <c r="F169" s="9">
        <f>Source!I129</f>
        <v>14</v>
      </c>
      <c r="G169" s="22"/>
      <c r="H169" s="21"/>
      <c r="I169" s="9"/>
      <c r="J169" s="9"/>
      <c r="K169" s="22"/>
      <c r="L169" s="22"/>
      <c r="Q169">
        <f>ROUND((Source!BZ129/100)*ROUND((Source!AF129*Source!AV129)*Source!I129, 2), 2)</f>
        <v>9234.34</v>
      </c>
      <c r="R169">
        <f>Source!X129</f>
        <v>9234.34</v>
      </c>
      <c r="S169">
        <f>ROUND((Source!CA129/100)*ROUND((Source!AF129*Source!AV129)*Source!I129, 2), 2)</f>
        <v>1319.19</v>
      </c>
      <c r="T169">
        <f>Source!Y129</f>
        <v>1319.19</v>
      </c>
      <c r="U169">
        <f>ROUND((175/100)*ROUND((Source!AE129*Source!AV129)*Source!I129, 2), 2)</f>
        <v>0.49</v>
      </c>
      <c r="V169">
        <f>ROUND((108/100)*ROUND(Source!CS129*Source!I129, 2), 2)</f>
        <v>0.3</v>
      </c>
    </row>
    <row r="170" spans="1:22" x14ac:dyDescent="0.2">
      <c r="D170" s="23" t="str">
        <f>"Объем: "&amp;Source!I129&amp;"=2*"&amp;"7"</f>
        <v>Объем: 14=2*7</v>
      </c>
    </row>
    <row r="171" spans="1:22" ht="14.25" x14ac:dyDescent="0.2">
      <c r="A171" s="19"/>
      <c r="B171" s="19"/>
      <c r="C171" s="19"/>
      <c r="D171" s="19" t="s">
        <v>500</v>
      </c>
      <c r="E171" s="20"/>
      <c r="F171" s="9"/>
      <c r="G171" s="22">
        <f>Source!AO129</f>
        <v>942.28</v>
      </c>
      <c r="H171" s="21" t="str">
        <f>Source!DG129</f>
        <v/>
      </c>
      <c r="I171" s="9">
        <f>Source!AV129</f>
        <v>1</v>
      </c>
      <c r="J171" s="9">
        <f>IF(Source!BA129&lt;&gt; 0, Source!BA129, 1)</f>
        <v>1</v>
      </c>
      <c r="K171" s="22">
        <f>Source!S129</f>
        <v>13191.92</v>
      </c>
      <c r="L171" s="22"/>
    </row>
    <row r="172" spans="1:22" ht="14.25" x14ac:dyDescent="0.2">
      <c r="A172" s="19"/>
      <c r="B172" s="19"/>
      <c r="C172" s="19"/>
      <c r="D172" s="19" t="s">
        <v>506</v>
      </c>
      <c r="E172" s="20"/>
      <c r="F172" s="9"/>
      <c r="G172" s="22">
        <f>Source!AM129</f>
        <v>1.79</v>
      </c>
      <c r="H172" s="21" t="str">
        <f>Source!DE129</f>
        <v/>
      </c>
      <c r="I172" s="9">
        <f>Source!AV129</f>
        <v>1</v>
      </c>
      <c r="J172" s="9">
        <f>IF(Source!BB129&lt;&gt; 0, Source!BB129, 1)</f>
        <v>1</v>
      </c>
      <c r="K172" s="22">
        <f>Source!Q129</f>
        <v>25.06</v>
      </c>
      <c r="L172" s="22"/>
    </row>
    <row r="173" spans="1:22" ht="14.25" x14ac:dyDescent="0.2">
      <c r="A173" s="19"/>
      <c r="B173" s="19"/>
      <c r="C173" s="19"/>
      <c r="D173" s="19" t="s">
        <v>507</v>
      </c>
      <c r="E173" s="20"/>
      <c r="F173" s="9"/>
      <c r="G173" s="22">
        <f>Source!AN129</f>
        <v>0.02</v>
      </c>
      <c r="H173" s="21" t="str">
        <f>Source!DF129</f>
        <v/>
      </c>
      <c r="I173" s="9">
        <f>Source!AV129</f>
        <v>1</v>
      </c>
      <c r="J173" s="9">
        <f>IF(Source!BS129&lt;&gt; 0, Source!BS129, 1)</f>
        <v>1</v>
      </c>
      <c r="K173" s="27">
        <f>Source!R129</f>
        <v>0.28000000000000003</v>
      </c>
      <c r="L173" s="22"/>
    </row>
    <row r="174" spans="1:22" ht="14.25" x14ac:dyDescent="0.2">
      <c r="A174" s="19"/>
      <c r="B174" s="19"/>
      <c r="C174" s="19"/>
      <c r="D174" s="19" t="s">
        <v>508</v>
      </c>
      <c r="E174" s="20"/>
      <c r="F174" s="9"/>
      <c r="G174" s="22">
        <f>Source!AL129</f>
        <v>0.74</v>
      </c>
      <c r="H174" s="21" t="str">
        <f>Source!DD129</f>
        <v/>
      </c>
      <c r="I174" s="9">
        <f>Source!AW129</f>
        <v>1</v>
      </c>
      <c r="J174" s="9">
        <f>IF(Source!BC129&lt;&gt; 0, Source!BC129, 1)</f>
        <v>1</v>
      </c>
      <c r="K174" s="22">
        <f>Source!P129</f>
        <v>10.36</v>
      </c>
      <c r="L174" s="22"/>
    </row>
    <row r="175" spans="1:22" ht="14.25" x14ac:dyDescent="0.2">
      <c r="A175" s="19"/>
      <c r="B175" s="19"/>
      <c r="C175" s="19"/>
      <c r="D175" s="19" t="s">
        <v>501</v>
      </c>
      <c r="E175" s="20" t="s">
        <v>502</v>
      </c>
      <c r="F175" s="9">
        <f>Source!AT129</f>
        <v>70</v>
      </c>
      <c r="G175" s="22"/>
      <c r="H175" s="21"/>
      <c r="I175" s="9"/>
      <c r="J175" s="9"/>
      <c r="K175" s="22">
        <f>SUM(R169:R174)</f>
        <v>9234.34</v>
      </c>
      <c r="L175" s="22"/>
    </row>
    <row r="176" spans="1:22" ht="14.25" x14ac:dyDescent="0.2">
      <c r="A176" s="19"/>
      <c r="B176" s="19"/>
      <c r="C176" s="19"/>
      <c r="D176" s="19" t="s">
        <v>503</v>
      </c>
      <c r="E176" s="20" t="s">
        <v>502</v>
      </c>
      <c r="F176" s="9">
        <f>Source!AU129</f>
        <v>10</v>
      </c>
      <c r="G176" s="22"/>
      <c r="H176" s="21"/>
      <c r="I176" s="9"/>
      <c r="J176" s="9"/>
      <c r="K176" s="22">
        <f>SUM(T169:T175)</f>
        <v>1319.19</v>
      </c>
      <c r="L176" s="22"/>
    </row>
    <row r="177" spans="1:22" ht="14.25" x14ac:dyDescent="0.2">
      <c r="A177" s="19"/>
      <c r="B177" s="19"/>
      <c r="C177" s="19"/>
      <c r="D177" s="19" t="s">
        <v>509</v>
      </c>
      <c r="E177" s="20" t="s">
        <v>502</v>
      </c>
      <c r="F177" s="9">
        <f>108</f>
        <v>108</v>
      </c>
      <c r="G177" s="22"/>
      <c r="H177" s="21"/>
      <c r="I177" s="9"/>
      <c r="J177" s="9"/>
      <c r="K177" s="22">
        <f>SUM(V169:V176)</f>
        <v>0.3</v>
      </c>
      <c r="L177" s="22"/>
    </row>
    <row r="178" spans="1:22" ht="14.25" x14ac:dyDescent="0.2">
      <c r="A178" s="19"/>
      <c r="B178" s="19"/>
      <c r="C178" s="19"/>
      <c r="D178" s="19" t="s">
        <v>504</v>
      </c>
      <c r="E178" s="20" t="s">
        <v>505</v>
      </c>
      <c r="F178" s="9">
        <f>Source!AQ129</f>
        <v>1.42</v>
      </c>
      <c r="G178" s="22"/>
      <c r="H178" s="21" t="str">
        <f>Source!DI129</f>
        <v/>
      </c>
      <c r="I178" s="9">
        <f>Source!AV129</f>
        <v>1</v>
      </c>
      <c r="J178" s="9"/>
      <c r="K178" s="22"/>
      <c r="L178" s="22">
        <f>Source!U129</f>
        <v>19.88</v>
      </c>
    </row>
    <row r="179" spans="1:22" ht="15" x14ac:dyDescent="0.25">
      <c r="A179" s="25"/>
      <c r="B179" s="25"/>
      <c r="C179" s="25"/>
      <c r="D179" s="25"/>
      <c r="E179" s="25"/>
      <c r="F179" s="25"/>
      <c r="G179" s="25"/>
      <c r="H179" s="25"/>
      <c r="I179" s="25"/>
      <c r="J179" s="52">
        <f>K171+K172+K174+K175+K176+K177</f>
        <v>23781.17</v>
      </c>
      <c r="K179" s="52"/>
      <c r="L179" s="26">
        <f>IF(Source!I129&lt;&gt;0, ROUND(J179/Source!I129, 2), 0)</f>
        <v>1698.66</v>
      </c>
      <c r="P179" s="24">
        <f>J179</f>
        <v>23781.17</v>
      </c>
    </row>
    <row r="180" spans="1:22" ht="42.75" x14ac:dyDescent="0.2">
      <c r="A180" s="19">
        <v>15</v>
      </c>
      <c r="B180" s="19">
        <v>15</v>
      </c>
      <c r="C180" s="19" t="str">
        <f>Source!F131</f>
        <v>1.18-2403-18-3/1</v>
      </c>
      <c r="D180" s="19" t="str">
        <f>Source!G131</f>
        <v>Техническое обслуживание наружных блоков сплит систем мощностью до 10 кВт - полугодовое</v>
      </c>
      <c r="E180" s="20" t="str">
        <f>Source!H131</f>
        <v>1 блок</v>
      </c>
      <c r="F180" s="9">
        <f>Source!I131</f>
        <v>14</v>
      </c>
      <c r="G180" s="22"/>
      <c r="H180" s="21"/>
      <c r="I180" s="9"/>
      <c r="J180" s="9"/>
      <c r="K180" s="22"/>
      <c r="L180" s="22"/>
      <c r="Q180">
        <f>ROUND((Source!BZ131/100)*ROUND((Source!AF131*Source!AV131)*Source!I131, 2), 2)</f>
        <v>16127.57</v>
      </c>
      <c r="R180">
        <f>Source!X131</f>
        <v>16127.57</v>
      </c>
      <c r="S180">
        <f>ROUND((Source!CA131/100)*ROUND((Source!AF131*Source!AV131)*Source!I131, 2), 2)</f>
        <v>2303.94</v>
      </c>
      <c r="T180">
        <f>Source!Y131</f>
        <v>2303.94</v>
      </c>
      <c r="U180">
        <f>ROUND((175/100)*ROUND((Source!AE131*Source!AV131)*Source!I131, 2), 2)</f>
        <v>1.23</v>
      </c>
      <c r="V180">
        <f>ROUND((108/100)*ROUND(Source!CS131*Source!I131, 2), 2)</f>
        <v>0.76</v>
      </c>
    </row>
    <row r="181" spans="1:22" x14ac:dyDescent="0.2">
      <c r="D181" s="23" t="str">
        <f>"Объем: "&amp;Source!I131&amp;"=2*"&amp;"7"</f>
        <v>Объем: 14=2*7</v>
      </c>
    </row>
    <row r="182" spans="1:22" ht="14.25" x14ac:dyDescent="0.2">
      <c r="A182" s="19"/>
      <c r="B182" s="19"/>
      <c r="C182" s="19"/>
      <c r="D182" s="19" t="s">
        <v>500</v>
      </c>
      <c r="E182" s="20"/>
      <c r="F182" s="9"/>
      <c r="G182" s="22">
        <f>Source!AO131</f>
        <v>1645.67</v>
      </c>
      <c r="H182" s="21" t="str">
        <f>Source!DG131</f>
        <v/>
      </c>
      <c r="I182" s="9">
        <f>Source!AV131</f>
        <v>1</v>
      </c>
      <c r="J182" s="9">
        <f>IF(Source!BA131&lt;&gt; 0, Source!BA131, 1)</f>
        <v>1</v>
      </c>
      <c r="K182" s="22">
        <f>Source!S131</f>
        <v>23039.38</v>
      </c>
      <c r="L182" s="22"/>
    </row>
    <row r="183" spans="1:22" ht="14.25" x14ac:dyDescent="0.2">
      <c r="A183" s="19"/>
      <c r="B183" s="19"/>
      <c r="C183" s="19"/>
      <c r="D183" s="19" t="s">
        <v>506</v>
      </c>
      <c r="E183" s="20"/>
      <c r="F183" s="9"/>
      <c r="G183" s="22">
        <f>Source!AM131</f>
        <v>3.49</v>
      </c>
      <c r="H183" s="21" t="str">
        <f>Source!DE131</f>
        <v/>
      </c>
      <c r="I183" s="9">
        <f>Source!AV131</f>
        <v>1</v>
      </c>
      <c r="J183" s="9">
        <f>IF(Source!BB131&lt;&gt; 0, Source!BB131, 1)</f>
        <v>1</v>
      </c>
      <c r="K183" s="22">
        <f>Source!Q131</f>
        <v>48.86</v>
      </c>
      <c r="L183" s="22"/>
    </row>
    <row r="184" spans="1:22" ht="14.25" x14ac:dyDescent="0.2">
      <c r="A184" s="19"/>
      <c r="B184" s="19"/>
      <c r="C184" s="19"/>
      <c r="D184" s="19" t="s">
        <v>507</v>
      </c>
      <c r="E184" s="20"/>
      <c r="F184" s="9"/>
      <c r="G184" s="22">
        <f>Source!AN131</f>
        <v>0.05</v>
      </c>
      <c r="H184" s="21" t="str">
        <f>Source!DF131</f>
        <v/>
      </c>
      <c r="I184" s="9">
        <f>Source!AV131</f>
        <v>1</v>
      </c>
      <c r="J184" s="9">
        <f>IF(Source!BS131&lt;&gt; 0, Source!BS131, 1)</f>
        <v>1</v>
      </c>
      <c r="K184" s="27">
        <f>Source!R131</f>
        <v>0.7</v>
      </c>
      <c r="L184" s="22"/>
    </row>
    <row r="185" spans="1:22" ht="14.25" x14ac:dyDescent="0.2">
      <c r="A185" s="19"/>
      <c r="B185" s="19"/>
      <c r="C185" s="19"/>
      <c r="D185" s="19" t="s">
        <v>508</v>
      </c>
      <c r="E185" s="20"/>
      <c r="F185" s="9"/>
      <c r="G185" s="22">
        <f>Source!AL131</f>
        <v>0.94</v>
      </c>
      <c r="H185" s="21" t="str">
        <f>Source!DD131</f>
        <v/>
      </c>
      <c r="I185" s="9">
        <f>Source!AW131</f>
        <v>1</v>
      </c>
      <c r="J185" s="9">
        <f>IF(Source!BC131&lt;&gt; 0, Source!BC131, 1)</f>
        <v>1</v>
      </c>
      <c r="K185" s="22">
        <f>Source!P131</f>
        <v>13.16</v>
      </c>
      <c r="L185" s="22"/>
    </row>
    <row r="186" spans="1:22" ht="14.25" x14ac:dyDescent="0.2">
      <c r="A186" s="19"/>
      <c r="B186" s="19"/>
      <c r="C186" s="19"/>
      <c r="D186" s="19" t="s">
        <v>501</v>
      </c>
      <c r="E186" s="20" t="s">
        <v>502</v>
      </c>
      <c r="F186" s="9">
        <f>Source!AT131</f>
        <v>70</v>
      </c>
      <c r="G186" s="22"/>
      <c r="H186" s="21"/>
      <c r="I186" s="9"/>
      <c r="J186" s="9"/>
      <c r="K186" s="22">
        <f>SUM(R180:R185)</f>
        <v>16127.57</v>
      </c>
      <c r="L186" s="22"/>
    </row>
    <row r="187" spans="1:22" ht="14.25" x14ac:dyDescent="0.2">
      <c r="A187" s="19"/>
      <c r="B187" s="19"/>
      <c r="C187" s="19"/>
      <c r="D187" s="19" t="s">
        <v>503</v>
      </c>
      <c r="E187" s="20" t="s">
        <v>502</v>
      </c>
      <c r="F187" s="9">
        <f>Source!AU131</f>
        <v>10</v>
      </c>
      <c r="G187" s="22"/>
      <c r="H187" s="21"/>
      <c r="I187" s="9"/>
      <c r="J187" s="9"/>
      <c r="K187" s="22">
        <f>SUM(T180:T186)</f>
        <v>2303.94</v>
      </c>
      <c r="L187" s="22"/>
    </row>
    <row r="188" spans="1:22" ht="14.25" x14ac:dyDescent="0.2">
      <c r="A188" s="19"/>
      <c r="B188" s="19"/>
      <c r="C188" s="19"/>
      <c r="D188" s="19" t="s">
        <v>509</v>
      </c>
      <c r="E188" s="20" t="s">
        <v>502</v>
      </c>
      <c r="F188" s="9">
        <f>108</f>
        <v>108</v>
      </c>
      <c r="G188" s="22"/>
      <c r="H188" s="21"/>
      <c r="I188" s="9"/>
      <c r="J188" s="9"/>
      <c r="K188" s="22">
        <f>SUM(V180:V187)</f>
        <v>0.76</v>
      </c>
      <c r="L188" s="22"/>
    </row>
    <row r="189" spans="1:22" ht="14.25" x14ac:dyDescent="0.2">
      <c r="A189" s="19"/>
      <c r="B189" s="19"/>
      <c r="C189" s="19"/>
      <c r="D189" s="19" t="s">
        <v>504</v>
      </c>
      <c r="E189" s="20" t="s">
        <v>505</v>
      </c>
      <c r="F189" s="9">
        <f>Source!AQ131</f>
        <v>2.48</v>
      </c>
      <c r="G189" s="22"/>
      <c r="H189" s="21" t="str">
        <f>Source!DI131</f>
        <v/>
      </c>
      <c r="I189" s="9">
        <f>Source!AV131</f>
        <v>1</v>
      </c>
      <c r="J189" s="9"/>
      <c r="K189" s="22"/>
      <c r="L189" s="22">
        <f>Source!U131</f>
        <v>34.72</v>
      </c>
    </row>
    <row r="190" spans="1:22" ht="15" x14ac:dyDescent="0.25">
      <c r="A190" s="25"/>
      <c r="B190" s="25"/>
      <c r="C190" s="25"/>
      <c r="D190" s="25"/>
      <c r="E190" s="25"/>
      <c r="F190" s="25"/>
      <c r="G190" s="25"/>
      <c r="H190" s="25"/>
      <c r="I190" s="25"/>
      <c r="J190" s="52">
        <f>K182+K183+K185+K186+K187+K188</f>
        <v>41533.670000000006</v>
      </c>
      <c r="K190" s="52"/>
      <c r="L190" s="26">
        <f>IF(Source!I131&lt;&gt;0, ROUND(J190/Source!I131, 2), 0)</f>
        <v>2966.69</v>
      </c>
      <c r="P190" s="24">
        <f>J190</f>
        <v>41533.670000000006</v>
      </c>
    </row>
    <row r="192" spans="1:22" ht="15" x14ac:dyDescent="0.25">
      <c r="A192" s="54" t="str">
        <f>CONCATENATE("Итого по подразделу: ",IF(Source!G136&lt;&gt;"Новый подраздел", Source!G136, ""))</f>
        <v>Итого по подразделу: Вентиляция и кондиционирование</v>
      </c>
      <c r="B192" s="54"/>
      <c r="C192" s="54"/>
      <c r="D192" s="54"/>
      <c r="E192" s="54"/>
      <c r="F192" s="54"/>
      <c r="G192" s="54"/>
      <c r="H192" s="54"/>
      <c r="I192" s="54"/>
      <c r="J192" s="53">
        <f>SUM(P161:P191)</f>
        <v>119269.55000000002</v>
      </c>
      <c r="K192" s="73"/>
      <c r="L192" s="28"/>
    </row>
    <row r="195" spans="1:22" ht="16.5" x14ac:dyDescent="0.25">
      <c r="A195" s="51" t="str">
        <f>CONCATENATE("Подраздел: ",IF(Source!G166&lt;&gt;"Новый подраздел", Source!G166, ""))</f>
        <v>Подраздел: Система электроснабжения</v>
      </c>
      <c r="B195" s="51"/>
      <c r="C195" s="51"/>
      <c r="D195" s="51"/>
      <c r="E195" s="51"/>
      <c r="F195" s="51"/>
      <c r="G195" s="51"/>
      <c r="H195" s="51"/>
      <c r="I195" s="51"/>
      <c r="J195" s="51"/>
      <c r="K195" s="51"/>
      <c r="L195" s="51"/>
    </row>
    <row r="197" spans="1:22" ht="15" x14ac:dyDescent="0.25">
      <c r="C197" s="55" t="str">
        <f>Source!G170</f>
        <v>Щитовое оборудование</v>
      </c>
      <c r="D197" s="55"/>
      <c r="E197" s="55"/>
      <c r="F197" s="55"/>
      <c r="G197" s="55"/>
      <c r="H197" s="55"/>
      <c r="I197" s="55"/>
      <c r="J197" s="55"/>
      <c r="K197" s="55"/>
    </row>
    <row r="198" spans="1:22" ht="71.25" x14ac:dyDescent="0.2">
      <c r="A198" s="19">
        <v>16</v>
      </c>
      <c r="B198" s="19">
        <v>16</v>
      </c>
      <c r="C198" s="19" t="str">
        <f>Source!F171</f>
        <v>1.21-2203-2-5/1</v>
      </c>
      <c r="D198" s="19" t="str">
        <f>Source!G171</f>
        <v>Техническое обслуживание силового распределительного пункта с установочными автоматами, число групп 12 / Распределительный щит, 48 модулеё, IP54</v>
      </c>
      <c r="E198" s="20" t="str">
        <f>Source!H171</f>
        <v>шт.</v>
      </c>
      <c r="F198" s="9">
        <f>Source!I171</f>
        <v>7</v>
      </c>
      <c r="G198" s="22"/>
      <c r="H198" s="21"/>
      <c r="I198" s="9"/>
      <c r="J198" s="9"/>
      <c r="K198" s="22"/>
      <c r="L198" s="22"/>
      <c r="Q198">
        <f>ROUND((Source!BZ171/100)*ROUND((Source!AF171*Source!AV171)*Source!I171, 2), 2)</f>
        <v>72616.820000000007</v>
      </c>
      <c r="R198">
        <f>Source!X171</f>
        <v>72616.820000000007</v>
      </c>
      <c r="S198">
        <f>ROUND((Source!CA171/100)*ROUND((Source!AF171*Source!AV171)*Source!I171, 2), 2)</f>
        <v>10373.83</v>
      </c>
      <c r="T198">
        <f>Source!Y171</f>
        <v>10373.83</v>
      </c>
      <c r="U198">
        <f>ROUND((175/100)*ROUND((Source!AE171*Source!AV171)*Source!I171, 2), 2)</f>
        <v>0</v>
      </c>
      <c r="V198">
        <f>ROUND((108/100)*ROUND(Source!CS171*Source!I171, 2), 2)</f>
        <v>0</v>
      </c>
    </row>
    <row r="199" spans="1:22" x14ac:dyDescent="0.2">
      <c r="D199" s="23" t="str">
        <f>"Объем: "&amp;Source!I171&amp;"=1*"&amp;"7"</f>
        <v>Объем: 7=1*7</v>
      </c>
    </row>
    <row r="200" spans="1:22" ht="14.25" x14ac:dyDescent="0.2">
      <c r="A200" s="19"/>
      <c r="B200" s="19"/>
      <c r="C200" s="19"/>
      <c r="D200" s="19" t="s">
        <v>500</v>
      </c>
      <c r="E200" s="20"/>
      <c r="F200" s="9"/>
      <c r="G200" s="22">
        <f>Source!AO171</f>
        <v>14819.76</v>
      </c>
      <c r="H200" s="21" t="str">
        <f>Source!DG171</f>
        <v/>
      </c>
      <c r="I200" s="9">
        <f>Source!AV171</f>
        <v>1</v>
      </c>
      <c r="J200" s="9">
        <f>IF(Source!BA171&lt;&gt; 0, Source!BA171, 1)</f>
        <v>1</v>
      </c>
      <c r="K200" s="22">
        <f>Source!S171</f>
        <v>103738.32</v>
      </c>
      <c r="L200" s="22"/>
    </row>
    <row r="201" spans="1:22" ht="14.25" x14ac:dyDescent="0.2">
      <c r="A201" s="19"/>
      <c r="B201" s="19"/>
      <c r="C201" s="19"/>
      <c r="D201" s="19" t="s">
        <v>508</v>
      </c>
      <c r="E201" s="20"/>
      <c r="F201" s="9"/>
      <c r="G201" s="22">
        <f>Source!AL171</f>
        <v>205.53</v>
      </c>
      <c r="H201" s="21" t="str">
        <f>Source!DD171</f>
        <v/>
      </c>
      <c r="I201" s="9">
        <f>Source!AW171</f>
        <v>1</v>
      </c>
      <c r="J201" s="9">
        <f>IF(Source!BC171&lt;&gt; 0, Source!BC171, 1)</f>
        <v>1</v>
      </c>
      <c r="K201" s="22">
        <f>Source!P171</f>
        <v>1438.71</v>
      </c>
      <c r="L201" s="22"/>
    </row>
    <row r="202" spans="1:22" ht="14.25" x14ac:dyDescent="0.2">
      <c r="A202" s="19"/>
      <c r="B202" s="19"/>
      <c r="C202" s="19"/>
      <c r="D202" s="19" t="s">
        <v>501</v>
      </c>
      <c r="E202" s="20" t="s">
        <v>502</v>
      </c>
      <c r="F202" s="9">
        <f>Source!AT171</f>
        <v>70</v>
      </c>
      <c r="G202" s="22"/>
      <c r="H202" s="21"/>
      <c r="I202" s="9"/>
      <c r="J202" s="9"/>
      <c r="K202" s="22">
        <f>SUM(R198:R201)</f>
        <v>72616.820000000007</v>
      </c>
      <c r="L202" s="22"/>
    </row>
    <row r="203" spans="1:22" ht="14.25" x14ac:dyDescent="0.2">
      <c r="A203" s="19"/>
      <c r="B203" s="19"/>
      <c r="C203" s="19"/>
      <c r="D203" s="19" t="s">
        <v>503</v>
      </c>
      <c r="E203" s="20" t="s">
        <v>502</v>
      </c>
      <c r="F203" s="9">
        <f>Source!AU171</f>
        <v>10</v>
      </c>
      <c r="G203" s="22"/>
      <c r="H203" s="21"/>
      <c r="I203" s="9"/>
      <c r="J203" s="9"/>
      <c r="K203" s="22">
        <f>SUM(T198:T202)</f>
        <v>10373.83</v>
      </c>
      <c r="L203" s="22"/>
    </row>
    <row r="204" spans="1:22" ht="14.25" x14ac:dyDescent="0.2">
      <c r="A204" s="19"/>
      <c r="B204" s="19"/>
      <c r="C204" s="19"/>
      <c r="D204" s="19" t="s">
        <v>504</v>
      </c>
      <c r="E204" s="20" t="s">
        <v>505</v>
      </c>
      <c r="F204" s="9">
        <f>Source!AQ171</f>
        <v>24</v>
      </c>
      <c r="G204" s="22"/>
      <c r="H204" s="21" t="str">
        <f>Source!DI171</f>
        <v/>
      </c>
      <c r="I204" s="9">
        <f>Source!AV171</f>
        <v>1</v>
      </c>
      <c r="J204" s="9"/>
      <c r="K204" s="22"/>
      <c r="L204" s="22">
        <f>Source!U171</f>
        <v>168</v>
      </c>
    </row>
    <row r="205" spans="1:22" ht="15" x14ac:dyDescent="0.25">
      <c r="A205" s="25"/>
      <c r="B205" s="25"/>
      <c r="C205" s="25"/>
      <c r="D205" s="25"/>
      <c r="E205" s="25"/>
      <c r="F205" s="25"/>
      <c r="G205" s="25"/>
      <c r="H205" s="25"/>
      <c r="I205" s="25"/>
      <c r="J205" s="52">
        <f>K200+K201+K202+K203</f>
        <v>188167.68000000002</v>
      </c>
      <c r="K205" s="52"/>
      <c r="L205" s="26">
        <f>IF(Source!I171&lt;&gt;0, ROUND(J205/Source!I171, 2), 0)</f>
        <v>26881.1</v>
      </c>
      <c r="P205" s="24">
        <f>J205</f>
        <v>188167.68000000002</v>
      </c>
    </row>
    <row r="206" spans="1:22" ht="71.25" x14ac:dyDescent="0.2">
      <c r="A206" s="19">
        <v>17</v>
      </c>
      <c r="B206" s="19">
        <v>17</v>
      </c>
      <c r="C206" s="19" t="str">
        <f>Source!F174</f>
        <v>1.21-2303-3-1/1</v>
      </c>
      <c r="D206" s="19" t="str">
        <f>Source!G174</f>
        <v>Техническое обслуживание выключателей автоматических трехполюсных установочных, номинальный ток до 200 А  /  3р, Iн= 63А</v>
      </c>
      <c r="E206" s="20" t="str">
        <f>Source!H174</f>
        <v>шт.</v>
      </c>
      <c r="F206" s="9">
        <f>Source!I174</f>
        <v>7</v>
      </c>
      <c r="G206" s="22"/>
      <c r="H206" s="21"/>
      <c r="I206" s="9"/>
      <c r="J206" s="9"/>
      <c r="K206" s="22"/>
      <c r="L206" s="22"/>
      <c r="Q206">
        <f>ROUND((Source!BZ174/100)*ROUND((Source!AF174*Source!AV174)*Source!I174, 2), 2)</f>
        <v>4538.53</v>
      </c>
      <c r="R206">
        <f>Source!X174</f>
        <v>4538.53</v>
      </c>
      <c r="S206">
        <f>ROUND((Source!CA174/100)*ROUND((Source!AF174*Source!AV174)*Source!I174, 2), 2)</f>
        <v>648.36</v>
      </c>
      <c r="T206">
        <f>Source!Y174</f>
        <v>648.36</v>
      </c>
      <c r="U206">
        <f>ROUND((175/100)*ROUND((Source!AE174*Source!AV174)*Source!I174, 2), 2)</f>
        <v>0</v>
      </c>
      <c r="V206">
        <f>ROUND((108/100)*ROUND(Source!CS174*Source!I174, 2), 2)</f>
        <v>0</v>
      </c>
    </row>
    <row r="207" spans="1:22" x14ac:dyDescent="0.2">
      <c r="D207" s="23" t="str">
        <f>"Объем: "&amp;Source!I174&amp;"=1*"&amp;"7"</f>
        <v>Объем: 7=1*7</v>
      </c>
    </row>
    <row r="208" spans="1:22" ht="14.25" x14ac:dyDescent="0.2">
      <c r="A208" s="19"/>
      <c r="B208" s="19"/>
      <c r="C208" s="19"/>
      <c r="D208" s="19" t="s">
        <v>500</v>
      </c>
      <c r="E208" s="20"/>
      <c r="F208" s="9"/>
      <c r="G208" s="22">
        <f>Source!AO174</f>
        <v>926.23</v>
      </c>
      <c r="H208" s="21" t="str">
        <f>Source!DG174</f>
        <v/>
      </c>
      <c r="I208" s="9">
        <f>Source!AV174</f>
        <v>1</v>
      </c>
      <c r="J208" s="9">
        <f>IF(Source!BA174&lt;&gt; 0, Source!BA174, 1)</f>
        <v>1</v>
      </c>
      <c r="K208" s="22">
        <f>Source!S174</f>
        <v>6483.61</v>
      </c>
      <c r="L208" s="22"/>
    </row>
    <row r="209" spans="1:22" ht="14.25" x14ac:dyDescent="0.2">
      <c r="A209" s="19"/>
      <c r="B209" s="19"/>
      <c r="C209" s="19"/>
      <c r="D209" s="19" t="s">
        <v>508</v>
      </c>
      <c r="E209" s="20"/>
      <c r="F209" s="9"/>
      <c r="G209" s="22">
        <f>Source!AL174</f>
        <v>12.39</v>
      </c>
      <c r="H209" s="21" t="str">
        <f>Source!DD174</f>
        <v/>
      </c>
      <c r="I209" s="9">
        <f>Source!AW174</f>
        <v>1</v>
      </c>
      <c r="J209" s="9">
        <f>IF(Source!BC174&lt;&gt; 0, Source!BC174, 1)</f>
        <v>1</v>
      </c>
      <c r="K209" s="22">
        <f>Source!P174</f>
        <v>86.73</v>
      </c>
      <c r="L209" s="22"/>
    </row>
    <row r="210" spans="1:22" ht="14.25" x14ac:dyDescent="0.2">
      <c r="A210" s="19"/>
      <c r="B210" s="19"/>
      <c r="C210" s="19"/>
      <c r="D210" s="19" t="s">
        <v>501</v>
      </c>
      <c r="E210" s="20" t="s">
        <v>502</v>
      </c>
      <c r="F210" s="9">
        <f>Source!AT174</f>
        <v>70</v>
      </c>
      <c r="G210" s="22"/>
      <c r="H210" s="21"/>
      <c r="I210" s="9"/>
      <c r="J210" s="9"/>
      <c r="K210" s="22">
        <f>SUM(R206:R209)</f>
        <v>4538.53</v>
      </c>
      <c r="L210" s="22"/>
    </row>
    <row r="211" spans="1:22" ht="14.25" x14ac:dyDescent="0.2">
      <c r="A211" s="19"/>
      <c r="B211" s="19"/>
      <c r="C211" s="19"/>
      <c r="D211" s="19" t="s">
        <v>503</v>
      </c>
      <c r="E211" s="20" t="s">
        <v>502</v>
      </c>
      <c r="F211" s="9">
        <f>Source!AU174</f>
        <v>10</v>
      </c>
      <c r="G211" s="22"/>
      <c r="H211" s="21"/>
      <c r="I211" s="9"/>
      <c r="J211" s="9"/>
      <c r="K211" s="22">
        <f>SUM(T206:T210)</f>
        <v>648.36</v>
      </c>
      <c r="L211" s="22"/>
    </row>
    <row r="212" spans="1:22" ht="14.25" x14ac:dyDescent="0.2">
      <c r="A212" s="19"/>
      <c r="B212" s="19"/>
      <c r="C212" s="19"/>
      <c r="D212" s="19" t="s">
        <v>504</v>
      </c>
      <c r="E212" s="20" t="s">
        <v>505</v>
      </c>
      <c r="F212" s="9">
        <f>Source!AQ174</f>
        <v>1.5</v>
      </c>
      <c r="G212" s="22"/>
      <c r="H212" s="21" t="str">
        <f>Source!DI174</f>
        <v/>
      </c>
      <c r="I212" s="9">
        <f>Source!AV174</f>
        <v>1</v>
      </c>
      <c r="J212" s="9"/>
      <c r="K212" s="22"/>
      <c r="L212" s="22">
        <f>Source!U174</f>
        <v>10.5</v>
      </c>
    </row>
    <row r="213" spans="1:22" ht="15" x14ac:dyDescent="0.25">
      <c r="A213" s="25"/>
      <c r="B213" s="25"/>
      <c r="C213" s="25"/>
      <c r="D213" s="25"/>
      <c r="E213" s="25"/>
      <c r="F213" s="25"/>
      <c r="G213" s="25"/>
      <c r="H213" s="25"/>
      <c r="I213" s="25"/>
      <c r="J213" s="52">
        <f>K208+K209+K210+K211</f>
        <v>11757.23</v>
      </c>
      <c r="K213" s="52"/>
      <c r="L213" s="26">
        <f>IF(Source!I174&lt;&gt;0, ROUND(J213/Source!I174, 2), 0)</f>
        <v>1679.6</v>
      </c>
      <c r="P213" s="24">
        <f>J213</f>
        <v>11757.23</v>
      </c>
    </row>
    <row r="214" spans="1:22" ht="57" x14ac:dyDescent="0.2">
      <c r="A214" s="19">
        <v>18</v>
      </c>
      <c r="B214" s="19">
        <v>18</v>
      </c>
      <c r="C214" s="19" t="str">
        <f>Source!F175</f>
        <v>1.21-2303-28-1/1</v>
      </c>
      <c r="D214" s="19" t="str">
        <f>Source!G175</f>
        <v>Техническое обслуживание автоматического выключателя до 160 А / Устройство защитного отключения 4p, Iн= 63А, диф=100мА</v>
      </c>
      <c r="E214" s="20" t="str">
        <f>Source!H175</f>
        <v>шт.</v>
      </c>
      <c r="F214" s="9">
        <f>Source!I175</f>
        <v>7</v>
      </c>
      <c r="G214" s="22"/>
      <c r="H214" s="21"/>
      <c r="I214" s="9"/>
      <c r="J214" s="9"/>
      <c r="K214" s="22"/>
      <c r="L214" s="22"/>
      <c r="Q214">
        <f>ROUND((Source!BZ175/100)*ROUND((Source!AF175*Source!AV175)*Source!I175, 2), 2)</f>
        <v>2086.42</v>
      </c>
      <c r="R214">
        <f>Source!X175</f>
        <v>2086.42</v>
      </c>
      <c r="S214">
        <f>ROUND((Source!CA175/100)*ROUND((Source!AF175*Source!AV175)*Source!I175, 2), 2)</f>
        <v>298.06</v>
      </c>
      <c r="T214">
        <f>Source!Y175</f>
        <v>298.06</v>
      </c>
      <c r="U214">
        <f>ROUND((175/100)*ROUND((Source!AE175*Source!AV175)*Source!I175, 2), 2)</f>
        <v>0</v>
      </c>
      <c r="V214">
        <f>ROUND((108/100)*ROUND(Source!CS175*Source!I175, 2), 2)</f>
        <v>0</v>
      </c>
    </row>
    <row r="215" spans="1:22" x14ac:dyDescent="0.2">
      <c r="D215" s="23" t="str">
        <f>"Объем: "&amp;Source!I175&amp;"=1*"&amp;"7"</f>
        <v>Объем: 7=1*7</v>
      </c>
    </row>
    <row r="216" spans="1:22" ht="14.25" x14ac:dyDescent="0.2">
      <c r="A216" s="19"/>
      <c r="B216" s="19"/>
      <c r="C216" s="19"/>
      <c r="D216" s="19" t="s">
        <v>500</v>
      </c>
      <c r="E216" s="20"/>
      <c r="F216" s="9"/>
      <c r="G216" s="22">
        <f>Source!AO175</f>
        <v>212.9</v>
      </c>
      <c r="H216" s="21" t="str">
        <f>Source!DG175</f>
        <v>)*2</v>
      </c>
      <c r="I216" s="9">
        <f>Source!AV175</f>
        <v>1</v>
      </c>
      <c r="J216" s="9">
        <f>IF(Source!BA175&lt;&gt; 0, Source!BA175, 1)</f>
        <v>1</v>
      </c>
      <c r="K216" s="22">
        <f>Source!S175</f>
        <v>2980.6</v>
      </c>
      <c r="L216" s="22"/>
    </row>
    <row r="217" spans="1:22" ht="14.25" x14ac:dyDescent="0.2">
      <c r="A217" s="19"/>
      <c r="B217" s="19"/>
      <c r="C217" s="19"/>
      <c r="D217" s="19" t="s">
        <v>508</v>
      </c>
      <c r="E217" s="20"/>
      <c r="F217" s="9"/>
      <c r="G217" s="22">
        <f>Source!AL175</f>
        <v>4.53</v>
      </c>
      <c r="H217" s="21" t="str">
        <f>Source!DD175</f>
        <v>)*2</v>
      </c>
      <c r="I217" s="9">
        <f>Source!AW175</f>
        <v>1</v>
      </c>
      <c r="J217" s="9">
        <f>IF(Source!BC175&lt;&gt; 0, Source!BC175, 1)</f>
        <v>1</v>
      </c>
      <c r="K217" s="22">
        <f>Source!P175</f>
        <v>63.42</v>
      </c>
      <c r="L217" s="22"/>
    </row>
    <row r="218" spans="1:22" ht="14.25" x14ac:dyDescent="0.2">
      <c r="A218" s="19"/>
      <c r="B218" s="19"/>
      <c r="C218" s="19"/>
      <c r="D218" s="19" t="s">
        <v>501</v>
      </c>
      <c r="E218" s="20" t="s">
        <v>502</v>
      </c>
      <c r="F218" s="9">
        <f>Source!AT175</f>
        <v>70</v>
      </c>
      <c r="G218" s="22"/>
      <c r="H218" s="21"/>
      <c r="I218" s="9"/>
      <c r="J218" s="9"/>
      <c r="K218" s="22">
        <f>SUM(R214:R217)</f>
        <v>2086.42</v>
      </c>
      <c r="L218" s="22"/>
    </row>
    <row r="219" spans="1:22" ht="14.25" x14ac:dyDescent="0.2">
      <c r="A219" s="19"/>
      <c r="B219" s="19"/>
      <c r="C219" s="19"/>
      <c r="D219" s="19" t="s">
        <v>503</v>
      </c>
      <c r="E219" s="20" t="s">
        <v>502</v>
      </c>
      <c r="F219" s="9">
        <f>Source!AU175</f>
        <v>10</v>
      </c>
      <c r="G219" s="22"/>
      <c r="H219" s="21"/>
      <c r="I219" s="9"/>
      <c r="J219" s="9"/>
      <c r="K219" s="22">
        <f>SUM(T214:T218)</f>
        <v>298.06</v>
      </c>
      <c r="L219" s="22"/>
    </row>
    <row r="220" spans="1:22" ht="14.25" x14ac:dyDescent="0.2">
      <c r="A220" s="19"/>
      <c r="B220" s="19"/>
      <c r="C220" s="19"/>
      <c r="D220" s="19" t="s">
        <v>504</v>
      </c>
      <c r="E220" s="20" t="s">
        <v>505</v>
      </c>
      <c r="F220" s="9">
        <f>Source!AQ175</f>
        <v>0.3</v>
      </c>
      <c r="G220" s="22"/>
      <c r="H220" s="21" t="str">
        <f>Source!DI175</f>
        <v>)*2</v>
      </c>
      <c r="I220" s="9">
        <f>Source!AV175</f>
        <v>1</v>
      </c>
      <c r="J220" s="9"/>
      <c r="K220" s="22"/>
      <c r="L220" s="22">
        <f>Source!U175</f>
        <v>4.2</v>
      </c>
    </row>
    <row r="221" spans="1:22" ht="15" x14ac:dyDescent="0.25">
      <c r="A221" s="25"/>
      <c r="B221" s="25"/>
      <c r="C221" s="25"/>
      <c r="D221" s="25"/>
      <c r="E221" s="25"/>
      <c r="F221" s="25"/>
      <c r="G221" s="25"/>
      <c r="H221" s="25"/>
      <c r="I221" s="25"/>
      <c r="J221" s="52">
        <f>K216+K217+K218+K219</f>
        <v>5428.5000000000009</v>
      </c>
      <c r="K221" s="52"/>
      <c r="L221" s="26">
        <f>IF(Source!I175&lt;&gt;0, ROUND(J221/Source!I175, 2), 0)</f>
        <v>775.5</v>
      </c>
      <c r="P221" s="24">
        <f>J221</f>
        <v>5428.5000000000009</v>
      </c>
    </row>
    <row r="222" spans="1:22" ht="57" x14ac:dyDescent="0.2">
      <c r="A222" s="19">
        <v>19</v>
      </c>
      <c r="B222" s="19">
        <v>19</v>
      </c>
      <c r="C222" s="19" t="str">
        <f>Source!F177</f>
        <v>1.21-2303-19-1/1</v>
      </c>
      <c r="D222" s="19" t="str">
        <f>Source!G177</f>
        <v>Техническое обслуживание выключателей автоматических однополюсных установочных на номинальный ток до 63 А/ 1р, Iн=10А</v>
      </c>
      <c r="E222" s="20" t="str">
        <f>Source!H177</f>
        <v>шт.</v>
      </c>
      <c r="F222" s="9">
        <f>Source!I177</f>
        <v>21</v>
      </c>
      <c r="G222" s="22"/>
      <c r="H222" s="21"/>
      <c r="I222" s="9"/>
      <c r="J222" s="9"/>
      <c r="K222" s="22"/>
      <c r="L222" s="22"/>
      <c r="Q222">
        <f>ROUND((Source!BZ177/100)*ROUND((Source!AF177*Source!AV177)*Source!I177, 2), 2)</f>
        <v>10892.55</v>
      </c>
      <c r="R222">
        <f>Source!X177</f>
        <v>10892.55</v>
      </c>
      <c r="S222">
        <f>ROUND((Source!CA177/100)*ROUND((Source!AF177*Source!AV177)*Source!I177, 2), 2)</f>
        <v>1556.08</v>
      </c>
      <c r="T222">
        <f>Source!Y177</f>
        <v>1556.08</v>
      </c>
      <c r="U222">
        <f>ROUND((175/100)*ROUND((Source!AE177*Source!AV177)*Source!I177, 2), 2)</f>
        <v>0</v>
      </c>
      <c r="V222">
        <f>ROUND((108/100)*ROUND(Source!CS177*Source!I177, 2), 2)</f>
        <v>0</v>
      </c>
    </row>
    <row r="223" spans="1:22" x14ac:dyDescent="0.2">
      <c r="D223" s="23" t="str">
        <f>"Объем: "&amp;Source!I177&amp;"=3*"&amp;"7"</f>
        <v>Объем: 21=3*7</v>
      </c>
    </row>
    <row r="224" spans="1:22" ht="14.25" x14ac:dyDescent="0.2">
      <c r="A224" s="19"/>
      <c r="B224" s="19"/>
      <c r="C224" s="19"/>
      <c r="D224" s="19" t="s">
        <v>500</v>
      </c>
      <c r="E224" s="20"/>
      <c r="F224" s="9"/>
      <c r="G224" s="22">
        <f>Source!AO177</f>
        <v>740.99</v>
      </c>
      <c r="H224" s="21" t="str">
        <f>Source!DG177</f>
        <v/>
      </c>
      <c r="I224" s="9">
        <f>Source!AV177</f>
        <v>1</v>
      </c>
      <c r="J224" s="9">
        <f>IF(Source!BA177&lt;&gt; 0, Source!BA177, 1)</f>
        <v>1</v>
      </c>
      <c r="K224" s="22">
        <f>Source!S177</f>
        <v>15560.79</v>
      </c>
      <c r="L224" s="22"/>
    </row>
    <row r="225" spans="1:22" ht="14.25" x14ac:dyDescent="0.2">
      <c r="A225" s="19"/>
      <c r="B225" s="19"/>
      <c r="C225" s="19"/>
      <c r="D225" s="19" t="s">
        <v>508</v>
      </c>
      <c r="E225" s="20"/>
      <c r="F225" s="9"/>
      <c r="G225" s="22">
        <f>Source!AL177</f>
        <v>1.7</v>
      </c>
      <c r="H225" s="21" t="str">
        <f>Source!DD177</f>
        <v/>
      </c>
      <c r="I225" s="9">
        <f>Source!AW177</f>
        <v>1</v>
      </c>
      <c r="J225" s="9">
        <f>IF(Source!BC177&lt;&gt; 0, Source!BC177, 1)</f>
        <v>1</v>
      </c>
      <c r="K225" s="22">
        <f>Source!P177</f>
        <v>35.700000000000003</v>
      </c>
      <c r="L225" s="22"/>
    </row>
    <row r="226" spans="1:22" ht="14.25" x14ac:dyDescent="0.2">
      <c r="A226" s="19"/>
      <c r="B226" s="19"/>
      <c r="C226" s="19"/>
      <c r="D226" s="19" t="s">
        <v>501</v>
      </c>
      <c r="E226" s="20" t="s">
        <v>502</v>
      </c>
      <c r="F226" s="9">
        <f>Source!AT177</f>
        <v>70</v>
      </c>
      <c r="G226" s="22"/>
      <c r="H226" s="21"/>
      <c r="I226" s="9"/>
      <c r="J226" s="9"/>
      <c r="K226" s="22">
        <f>SUM(R222:R225)</f>
        <v>10892.55</v>
      </c>
      <c r="L226" s="22"/>
    </row>
    <row r="227" spans="1:22" ht="14.25" x14ac:dyDescent="0.2">
      <c r="A227" s="19"/>
      <c r="B227" s="19"/>
      <c r="C227" s="19"/>
      <c r="D227" s="19" t="s">
        <v>503</v>
      </c>
      <c r="E227" s="20" t="s">
        <v>502</v>
      </c>
      <c r="F227" s="9">
        <f>Source!AU177</f>
        <v>10</v>
      </c>
      <c r="G227" s="22"/>
      <c r="H227" s="21"/>
      <c r="I227" s="9"/>
      <c r="J227" s="9"/>
      <c r="K227" s="22">
        <f>SUM(T222:T226)</f>
        <v>1556.08</v>
      </c>
      <c r="L227" s="22"/>
    </row>
    <row r="228" spans="1:22" ht="14.25" x14ac:dyDescent="0.2">
      <c r="A228" s="19"/>
      <c r="B228" s="19"/>
      <c r="C228" s="19"/>
      <c r="D228" s="19" t="s">
        <v>504</v>
      </c>
      <c r="E228" s="20" t="s">
        <v>505</v>
      </c>
      <c r="F228" s="9">
        <f>Source!AQ177</f>
        <v>1.2</v>
      </c>
      <c r="G228" s="22"/>
      <c r="H228" s="21" t="str">
        <f>Source!DI177</f>
        <v/>
      </c>
      <c r="I228" s="9">
        <f>Source!AV177</f>
        <v>1</v>
      </c>
      <c r="J228" s="9"/>
      <c r="K228" s="22"/>
      <c r="L228" s="22">
        <f>Source!U177</f>
        <v>25.2</v>
      </c>
    </row>
    <row r="229" spans="1:22" ht="15" x14ac:dyDescent="0.25">
      <c r="A229" s="25"/>
      <c r="B229" s="25"/>
      <c r="C229" s="25"/>
      <c r="D229" s="25"/>
      <c r="E229" s="25"/>
      <c r="F229" s="25"/>
      <c r="G229" s="25"/>
      <c r="H229" s="25"/>
      <c r="I229" s="25"/>
      <c r="J229" s="52">
        <f>K224+K225+K226+K227</f>
        <v>28045.120000000003</v>
      </c>
      <c r="K229" s="52"/>
      <c r="L229" s="26">
        <f>IF(Source!I177&lt;&gt;0, ROUND(J229/Source!I177, 2), 0)</f>
        <v>1335.48</v>
      </c>
      <c r="P229" s="24">
        <f>J229</f>
        <v>28045.120000000003</v>
      </c>
    </row>
    <row r="230" spans="1:22" ht="71.25" x14ac:dyDescent="0.2">
      <c r="A230" s="19">
        <v>20</v>
      </c>
      <c r="B230" s="19">
        <v>20</v>
      </c>
      <c r="C230" s="19" t="str">
        <f>Source!F178</f>
        <v>1.21-2303-28-1/1</v>
      </c>
      <c r="D230" s="19" t="str">
        <f>Source!G178</f>
        <v>Техническое обслуживание автоматического выключателя до 160 А / Дифференциальный автоматический выключатель, Iн=16А, Iдиф=30мА</v>
      </c>
      <c r="E230" s="20" t="str">
        <f>Source!H178</f>
        <v>шт.</v>
      </c>
      <c r="F230" s="9">
        <f>Source!I178</f>
        <v>84</v>
      </c>
      <c r="G230" s="22"/>
      <c r="H230" s="21"/>
      <c r="I230" s="9"/>
      <c r="J230" s="9"/>
      <c r="K230" s="22"/>
      <c r="L230" s="22"/>
      <c r="Q230">
        <f>ROUND((Source!BZ178/100)*ROUND((Source!AF178*Source!AV178)*Source!I178, 2), 2)</f>
        <v>25037.040000000001</v>
      </c>
      <c r="R230">
        <f>Source!X178</f>
        <v>25037.040000000001</v>
      </c>
      <c r="S230">
        <f>ROUND((Source!CA178/100)*ROUND((Source!AF178*Source!AV178)*Source!I178, 2), 2)</f>
        <v>3576.72</v>
      </c>
      <c r="T230">
        <f>Source!Y178</f>
        <v>3576.72</v>
      </c>
      <c r="U230">
        <f>ROUND((175/100)*ROUND((Source!AE178*Source!AV178)*Source!I178, 2), 2)</f>
        <v>0</v>
      </c>
      <c r="V230">
        <f>ROUND((108/100)*ROUND(Source!CS178*Source!I178, 2), 2)</f>
        <v>0</v>
      </c>
    </row>
    <row r="231" spans="1:22" x14ac:dyDescent="0.2">
      <c r="D231" s="23" t="str">
        <f>"Объем: "&amp;Source!I178&amp;"=12*"&amp;"7"</f>
        <v>Объем: 84=12*7</v>
      </c>
    </row>
    <row r="232" spans="1:22" ht="14.25" x14ac:dyDescent="0.2">
      <c r="A232" s="19"/>
      <c r="B232" s="19"/>
      <c r="C232" s="19"/>
      <c r="D232" s="19" t="s">
        <v>500</v>
      </c>
      <c r="E232" s="20"/>
      <c r="F232" s="9"/>
      <c r="G232" s="22">
        <f>Source!AO178</f>
        <v>212.9</v>
      </c>
      <c r="H232" s="21" t="str">
        <f>Source!DG178</f>
        <v>)*2</v>
      </c>
      <c r="I232" s="9">
        <f>Source!AV178</f>
        <v>1</v>
      </c>
      <c r="J232" s="9">
        <f>IF(Source!BA178&lt;&gt; 0, Source!BA178, 1)</f>
        <v>1</v>
      </c>
      <c r="K232" s="22">
        <f>Source!S178</f>
        <v>35767.199999999997</v>
      </c>
      <c r="L232" s="22"/>
    </row>
    <row r="233" spans="1:22" ht="14.25" x14ac:dyDescent="0.2">
      <c r="A233" s="19"/>
      <c r="B233" s="19"/>
      <c r="C233" s="19"/>
      <c r="D233" s="19" t="s">
        <v>508</v>
      </c>
      <c r="E233" s="20"/>
      <c r="F233" s="9"/>
      <c r="G233" s="22">
        <f>Source!AL178</f>
        <v>4.53</v>
      </c>
      <c r="H233" s="21" t="str">
        <f>Source!DD178</f>
        <v>)*2</v>
      </c>
      <c r="I233" s="9">
        <f>Source!AW178</f>
        <v>1</v>
      </c>
      <c r="J233" s="9">
        <f>IF(Source!BC178&lt;&gt; 0, Source!BC178, 1)</f>
        <v>1</v>
      </c>
      <c r="K233" s="22">
        <f>Source!P178</f>
        <v>761.04</v>
      </c>
      <c r="L233" s="22"/>
    </row>
    <row r="234" spans="1:22" ht="14.25" x14ac:dyDescent="0.2">
      <c r="A234" s="19"/>
      <c r="B234" s="19"/>
      <c r="C234" s="19"/>
      <c r="D234" s="19" t="s">
        <v>501</v>
      </c>
      <c r="E234" s="20" t="s">
        <v>502</v>
      </c>
      <c r="F234" s="9">
        <f>Source!AT178</f>
        <v>70</v>
      </c>
      <c r="G234" s="22"/>
      <c r="H234" s="21"/>
      <c r="I234" s="9"/>
      <c r="J234" s="9"/>
      <c r="K234" s="22">
        <f>SUM(R230:R233)</f>
        <v>25037.040000000001</v>
      </c>
      <c r="L234" s="22"/>
    </row>
    <row r="235" spans="1:22" ht="14.25" x14ac:dyDescent="0.2">
      <c r="A235" s="19"/>
      <c r="B235" s="19"/>
      <c r="C235" s="19"/>
      <c r="D235" s="19" t="s">
        <v>503</v>
      </c>
      <c r="E235" s="20" t="s">
        <v>502</v>
      </c>
      <c r="F235" s="9">
        <f>Source!AU178</f>
        <v>10</v>
      </c>
      <c r="G235" s="22"/>
      <c r="H235" s="21"/>
      <c r="I235" s="9"/>
      <c r="J235" s="9"/>
      <c r="K235" s="22">
        <f>SUM(T230:T234)</f>
        <v>3576.72</v>
      </c>
      <c r="L235" s="22"/>
    </row>
    <row r="236" spans="1:22" ht="14.25" x14ac:dyDescent="0.2">
      <c r="A236" s="19"/>
      <c r="B236" s="19"/>
      <c r="C236" s="19"/>
      <c r="D236" s="19" t="s">
        <v>504</v>
      </c>
      <c r="E236" s="20" t="s">
        <v>505</v>
      </c>
      <c r="F236" s="9">
        <f>Source!AQ178</f>
        <v>0.3</v>
      </c>
      <c r="G236" s="22"/>
      <c r="H236" s="21" t="str">
        <f>Source!DI178</f>
        <v>)*2</v>
      </c>
      <c r="I236" s="9">
        <f>Source!AV178</f>
        <v>1</v>
      </c>
      <c r="J236" s="9"/>
      <c r="K236" s="22"/>
      <c r="L236" s="22">
        <f>Source!U178</f>
        <v>50.4</v>
      </c>
    </row>
    <row r="237" spans="1:22" ht="15" x14ac:dyDescent="0.25">
      <c r="A237" s="25"/>
      <c r="B237" s="25"/>
      <c r="C237" s="25"/>
      <c r="D237" s="25"/>
      <c r="E237" s="25"/>
      <c r="F237" s="25"/>
      <c r="G237" s="25"/>
      <c r="H237" s="25"/>
      <c r="I237" s="25"/>
      <c r="J237" s="52">
        <f>K232+K233+K234+K235</f>
        <v>65142</v>
      </c>
      <c r="K237" s="52"/>
      <c r="L237" s="26">
        <f>IF(Source!I178&lt;&gt;0, ROUND(J237/Source!I178, 2), 0)</f>
        <v>775.5</v>
      </c>
      <c r="P237" s="24">
        <f>J237</f>
        <v>65142</v>
      </c>
    </row>
    <row r="239" spans="1:22" ht="15" x14ac:dyDescent="0.25">
      <c r="C239" s="55" t="str">
        <f>Source!G179</f>
        <v>Свелильники</v>
      </c>
      <c r="D239" s="55"/>
      <c r="E239" s="55"/>
      <c r="F239" s="55"/>
      <c r="G239" s="55"/>
      <c r="H239" s="55"/>
      <c r="I239" s="55"/>
      <c r="J239" s="55"/>
      <c r="K239" s="55"/>
    </row>
    <row r="240" spans="1:22" ht="108" x14ac:dyDescent="0.2">
      <c r="A240" s="19">
        <v>21</v>
      </c>
      <c r="B240" s="19">
        <v>21</v>
      </c>
      <c r="C240" s="19" t="s">
        <v>510</v>
      </c>
      <c r="D240" s="19" t="s">
        <v>511</v>
      </c>
      <c r="E240" s="20" t="str">
        <f>Source!H180</f>
        <v>шт.</v>
      </c>
      <c r="F240" s="9">
        <f>Source!I180</f>
        <v>112</v>
      </c>
      <c r="G240" s="22"/>
      <c r="H240" s="21"/>
      <c r="I240" s="9"/>
      <c r="J240" s="9"/>
      <c r="K240" s="22"/>
      <c r="L240" s="22"/>
      <c r="Q240">
        <f>ROUND((Source!BZ180/100)*ROUND((Source!AF180*Source!AV180)*Source!I180, 2), 2)</f>
        <v>18335</v>
      </c>
      <c r="R240">
        <f>Source!X180</f>
        <v>18335</v>
      </c>
      <c r="S240">
        <f>ROUND((Source!CA180/100)*ROUND((Source!AF180*Source!AV180)*Source!I180, 2), 2)</f>
        <v>2619.29</v>
      </c>
      <c r="T240">
        <f>Source!Y180</f>
        <v>2619.29</v>
      </c>
      <c r="U240">
        <f>ROUND((175/100)*ROUND((Source!AE180*Source!AV180)*Source!I180, 2), 2)</f>
        <v>0</v>
      </c>
      <c r="V240">
        <f>ROUND((108/100)*ROUND(Source!CS180*Source!I180, 2), 2)</f>
        <v>0</v>
      </c>
    </row>
    <row r="241" spans="1:22" x14ac:dyDescent="0.2">
      <c r="D241" s="23" t="str">
        <f>"Объем: "&amp;Source!I180&amp;"=16*"&amp;"7"</f>
        <v>Объем: 112=16*7</v>
      </c>
    </row>
    <row r="242" spans="1:22" ht="14.25" x14ac:dyDescent="0.2">
      <c r="A242" s="19"/>
      <c r="B242" s="19"/>
      <c r="C242" s="19"/>
      <c r="D242" s="19" t="s">
        <v>500</v>
      </c>
      <c r="E242" s="20"/>
      <c r="F242" s="9"/>
      <c r="G242" s="22">
        <f>Source!AO180</f>
        <v>224.87</v>
      </c>
      <c r="H242" s="21" t="str">
        <f>Source!DG180</f>
        <v>)*1,04</v>
      </c>
      <c r="I242" s="9">
        <f>Source!AV180</f>
        <v>1</v>
      </c>
      <c r="J242" s="9">
        <f>IF(Source!BA180&lt;&gt; 0, Source!BA180, 1)</f>
        <v>1</v>
      </c>
      <c r="K242" s="22">
        <f>Source!S180</f>
        <v>26192.86</v>
      </c>
      <c r="L242" s="22"/>
    </row>
    <row r="243" spans="1:22" ht="14.25" x14ac:dyDescent="0.2">
      <c r="A243" s="19"/>
      <c r="B243" s="19"/>
      <c r="C243" s="19"/>
      <c r="D243" s="19" t="s">
        <v>508</v>
      </c>
      <c r="E243" s="20"/>
      <c r="F243" s="9"/>
      <c r="G243" s="22">
        <f>Source!AL180</f>
        <v>1.26</v>
      </c>
      <c r="H243" s="21" t="str">
        <f>Source!DD180</f>
        <v/>
      </c>
      <c r="I243" s="9">
        <f>Source!AW180</f>
        <v>1</v>
      </c>
      <c r="J243" s="9">
        <f>IF(Source!BC180&lt;&gt; 0, Source!BC180, 1)</f>
        <v>1</v>
      </c>
      <c r="K243" s="22">
        <f>Source!P180</f>
        <v>141.12</v>
      </c>
      <c r="L243" s="22"/>
    </row>
    <row r="244" spans="1:22" ht="14.25" x14ac:dyDescent="0.2">
      <c r="A244" s="19"/>
      <c r="B244" s="19"/>
      <c r="C244" s="19"/>
      <c r="D244" s="19" t="s">
        <v>501</v>
      </c>
      <c r="E244" s="20" t="s">
        <v>502</v>
      </c>
      <c r="F244" s="9">
        <f>Source!AT180</f>
        <v>70</v>
      </c>
      <c r="G244" s="22"/>
      <c r="H244" s="21"/>
      <c r="I244" s="9"/>
      <c r="J244" s="9"/>
      <c r="K244" s="22">
        <f>SUM(R240:R243)</f>
        <v>18335</v>
      </c>
      <c r="L244" s="22"/>
    </row>
    <row r="245" spans="1:22" ht="14.25" x14ac:dyDescent="0.2">
      <c r="A245" s="19"/>
      <c r="B245" s="19"/>
      <c r="C245" s="19"/>
      <c r="D245" s="19" t="s">
        <v>503</v>
      </c>
      <c r="E245" s="20" t="s">
        <v>502</v>
      </c>
      <c r="F245" s="9">
        <f>Source!AU180</f>
        <v>10</v>
      </c>
      <c r="G245" s="22"/>
      <c r="H245" s="21"/>
      <c r="I245" s="9"/>
      <c r="J245" s="9"/>
      <c r="K245" s="22">
        <f>SUM(T240:T244)</f>
        <v>2619.29</v>
      </c>
      <c r="L245" s="22"/>
    </row>
    <row r="246" spans="1:22" ht="14.25" x14ac:dyDescent="0.2">
      <c r="A246" s="19"/>
      <c r="B246" s="19"/>
      <c r="C246" s="19"/>
      <c r="D246" s="19" t="s">
        <v>504</v>
      </c>
      <c r="E246" s="20" t="s">
        <v>505</v>
      </c>
      <c r="F246" s="9">
        <f>Source!AQ180</f>
        <v>0.4</v>
      </c>
      <c r="G246" s="22"/>
      <c r="H246" s="21" t="str">
        <f>Source!DI180</f>
        <v>)*1,04</v>
      </c>
      <c r="I246" s="9">
        <f>Source!AV180</f>
        <v>1</v>
      </c>
      <c r="J246" s="9"/>
      <c r="K246" s="22"/>
      <c r="L246" s="22">
        <f>Source!U180</f>
        <v>46.592000000000006</v>
      </c>
    </row>
    <row r="247" spans="1:22" ht="15" x14ac:dyDescent="0.25">
      <c r="A247" s="25"/>
      <c r="B247" s="25"/>
      <c r="C247" s="25"/>
      <c r="D247" s="25"/>
      <c r="E247" s="25"/>
      <c r="F247" s="25"/>
      <c r="G247" s="25"/>
      <c r="H247" s="25"/>
      <c r="I247" s="25"/>
      <c r="J247" s="52">
        <f>K242+K243+K244+K245</f>
        <v>47288.27</v>
      </c>
      <c r="K247" s="52"/>
      <c r="L247" s="26">
        <f>IF(Source!I180&lt;&gt;0, ROUND(J247/Source!I180, 2), 0)</f>
        <v>422.22</v>
      </c>
      <c r="P247" s="24">
        <f>J247</f>
        <v>47288.27</v>
      </c>
    </row>
    <row r="248" spans="1:22" ht="165" x14ac:dyDescent="0.2">
      <c r="A248" s="19">
        <v>22</v>
      </c>
      <c r="B248" s="19">
        <v>22</v>
      </c>
      <c r="C248" s="19" t="s">
        <v>512</v>
      </c>
      <c r="D248" s="19" t="s">
        <v>513</v>
      </c>
      <c r="E248" s="20" t="str">
        <f>Source!H181</f>
        <v>шт.</v>
      </c>
      <c r="F248" s="9">
        <f>Source!I181</f>
        <v>14</v>
      </c>
      <c r="G248" s="22"/>
      <c r="H248" s="21"/>
      <c r="I248" s="9"/>
      <c r="J248" s="9"/>
      <c r="K248" s="22"/>
      <c r="L248" s="22"/>
      <c r="Q248">
        <f>ROUND((Source!BZ181/100)*ROUND((Source!AF181*Source!AV181)*Source!I181, 2), 2)</f>
        <v>1718.88</v>
      </c>
      <c r="R248">
        <f>Source!X181</f>
        <v>1718.88</v>
      </c>
      <c r="S248">
        <f>ROUND((Source!CA181/100)*ROUND((Source!AF181*Source!AV181)*Source!I181, 2), 2)</f>
        <v>245.55</v>
      </c>
      <c r="T248">
        <f>Source!Y181</f>
        <v>245.55</v>
      </c>
      <c r="U248">
        <f>ROUND((175/100)*ROUND((Source!AE181*Source!AV181)*Source!I181, 2), 2)</f>
        <v>0</v>
      </c>
      <c r="V248">
        <f>ROUND((108/100)*ROUND(Source!CS181*Source!I181, 2), 2)</f>
        <v>0</v>
      </c>
    </row>
    <row r="249" spans="1:22" x14ac:dyDescent="0.2">
      <c r="D249" s="23" t="str">
        <f>"Объем: "&amp;Source!I181&amp;"=(2)*"&amp;"7"</f>
        <v>Объем: 14=(2)*7</v>
      </c>
    </row>
    <row r="250" spans="1:22" ht="14.25" x14ac:dyDescent="0.2">
      <c r="A250" s="19"/>
      <c r="B250" s="19"/>
      <c r="C250" s="19"/>
      <c r="D250" s="19" t="s">
        <v>500</v>
      </c>
      <c r="E250" s="20"/>
      <c r="F250" s="9"/>
      <c r="G250" s="22">
        <f>Source!AO181</f>
        <v>168.65</v>
      </c>
      <c r="H250" s="21" t="str">
        <f>Source!DG181</f>
        <v>)*1,04</v>
      </c>
      <c r="I250" s="9">
        <f>Source!AV181</f>
        <v>1</v>
      </c>
      <c r="J250" s="9">
        <f>IF(Source!BA181&lt;&gt; 0, Source!BA181, 1)</f>
        <v>1</v>
      </c>
      <c r="K250" s="22">
        <f>Source!S181</f>
        <v>2455.54</v>
      </c>
      <c r="L250" s="22"/>
    </row>
    <row r="251" spans="1:22" ht="14.25" x14ac:dyDescent="0.2">
      <c r="A251" s="19"/>
      <c r="B251" s="19"/>
      <c r="C251" s="19"/>
      <c r="D251" s="19" t="s">
        <v>508</v>
      </c>
      <c r="E251" s="20"/>
      <c r="F251" s="9"/>
      <c r="G251" s="22">
        <f>Source!AL181</f>
        <v>0.63</v>
      </c>
      <c r="H251" s="21" t="str">
        <f>Source!DD181</f>
        <v/>
      </c>
      <c r="I251" s="9">
        <f>Source!AW181</f>
        <v>1</v>
      </c>
      <c r="J251" s="9">
        <f>IF(Source!BC181&lt;&gt; 0, Source!BC181, 1)</f>
        <v>1</v>
      </c>
      <c r="K251" s="22">
        <f>Source!P181</f>
        <v>8.82</v>
      </c>
      <c r="L251" s="22"/>
    </row>
    <row r="252" spans="1:22" ht="14.25" x14ac:dyDescent="0.2">
      <c r="A252" s="19"/>
      <c r="B252" s="19"/>
      <c r="C252" s="19"/>
      <c r="D252" s="19" t="s">
        <v>501</v>
      </c>
      <c r="E252" s="20" t="s">
        <v>502</v>
      </c>
      <c r="F252" s="9">
        <f>Source!AT181</f>
        <v>70</v>
      </c>
      <c r="G252" s="22"/>
      <c r="H252" s="21"/>
      <c r="I252" s="9"/>
      <c r="J252" s="9"/>
      <c r="K252" s="22">
        <f>SUM(R248:R251)</f>
        <v>1718.88</v>
      </c>
      <c r="L252" s="22"/>
    </row>
    <row r="253" spans="1:22" ht="14.25" x14ac:dyDescent="0.2">
      <c r="A253" s="19"/>
      <c r="B253" s="19"/>
      <c r="C253" s="19"/>
      <c r="D253" s="19" t="s">
        <v>503</v>
      </c>
      <c r="E253" s="20" t="s">
        <v>502</v>
      </c>
      <c r="F253" s="9">
        <f>Source!AU181</f>
        <v>10</v>
      </c>
      <c r="G253" s="22"/>
      <c r="H253" s="21"/>
      <c r="I253" s="9"/>
      <c r="J253" s="9"/>
      <c r="K253" s="22">
        <f>SUM(T248:T252)</f>
        <v>245.55</v>
      </c>
      <c r="L253" s="22"/>
    </row>
    <row r="254" spans="1:22" ht="14.25" x14ac:dyDescent="0.2">
      <c r="A254" s="19"/>
      <c r="B254" s="19"/>
      <c r="C254" s="19"/>
      <c r="D254" s="19" t="s">
        <v>504</v>
      </c>
      <c r="E254" s="20" t="s">
        <v>505</v>
      </c>
      <c r="F254" s="9">
        <f>Source!AQ181</f>
        <v>0.3</v>
      </c>
      <c r="G254" s="22"/>
      <c r="H254" s="21" t="str">
        <f>Source!DI181</f>
        <v>)*1,04</v>
      </c>
      <c r="I254" s="9">
        <f>Source!AV181</f>
        <v>1</v>
      </c>
      <c r="J254" s="9"/>
      <c r="K254" s="22"/>
      <c r="L254" s="22">
        <f>Source!U181</f>
        <v>4.3680000000000003</v>
      </c>
    </row>
    <row r="255" spans="1:22" ht="15" x14ac:dyDescent="0.25">
      <c r="A255" s="25"/>
      <c r="B255" s="25"/>
      <c r="C255" s="25"/>
      <c r="D255" s="25"/>
      <c r="E255" s="25"/>
      <c r="F255" s="25"/>
      <c r="G255" s="25"/>
      <c r="H255" s="25"/>
      <c r="I255" s="25"/>
      <c r="J255" s="52">
        <f>K250+K251+K252+K253</f>
        <v>4428.79</v>
      </c>
      <c r="K255" s="52"/>
      <c r="L255" s="26">
        <f>IF(Source!I181&lt;&gt;0, ROUND(J255/Source!I181, 2), 0)</f>
        <v>316.33999999999997</v>
      </c>
      <c r="P255" s="24">
        <f>J255</f>
        <v>4428.79</v>
      </c>
    </row>
    <row r="257" spans="1:22" ht="15" x14ac:dyDescent="0.25">
      <c r="C257" s="55" t="str">
        <f>Source!G182</f>
        <v>Электроустановочные изделия</v>
      </c>
      <c r="D257" s="55"/>
      <c r="E257" s="55"/>
      <c r="F257" s="55"/>
      <c r="G257" s="55"/>
      <c r="H257" s="55"/>
      <c r="I257" s="55"/>
      <c r="J257" s="55"/>
      <c r="K257" s="55"/>
    </row>
    <row r="258" spans="1:22" ht="57" x14ac:dyDescent="0.2">
      <c r="A258" s="19">
        <v>23</v>
      </c>
      <c r="B258" s="19">
        <v>23</v>
      </c>
      <c r="C258" s="19" t="str">
        <f>Source!F183</f>
        <v>1.23-2103-6-1/1</v>
      </c>
      <c r="D258" s="19" t="str">
        <f>Source!G183</f>
        <v>Техническое обслуживание выключателей поплавковых / Выключатель одноклавишный Ном. ток 10 А. Ном. напр.: 250 В.</v>
      </c>
      <c r="E258" s="20" t="str">
        <f>Source!H183</f>
        <v>100 шт.</v>
      </c>
      <c r="F258" s="9">
        <f>Source!I183</f>
        <v>0.68</v>
      </c>
      <c r="G258" s="22"/>
      <c r="H258" s="21"/>
      <c r="I258" s="9"/>
      <c r="J258" s="9"/>
      <c r="K258" s="22"/>
      <c r="L258" s="22"/>
      <c r="Q258">
        <f>ROUND((Source!BZ183/100)*ROUND((Source!AF183*Source!AV183)*Source!I183, 2), 2)</f>
        <v>6115.44</v>
      </c>
      <c r="R258">
        <f>Source!X183</f>
        <v>6115.44</v>
      </c>
      <c r="S258">
        <f>ROUND((Source!CA183/100)*ROUND((Source!AF183*Source!AV183)*Source!I183, 2), 2)</f>
        <v>873.63</v>
      </c>
      <c r="T258">
        <f>Source!Y183</f>
        <v>873.63</v>
      </c>
      <c r="U258">
        <f>ROUND((175/100)*ROUND((Source!AE183*Source!AV183)*Source!I183, 2), 2)</f>
        <v>2752.89</v>
      </c>
      <c r="V258">
        <f>ROUND((108/100)*ROUND(Source!CS183*Source!I183, 2), 2)</f>
        <v>1698.93</v>
      </c>
    </row>
    <row r="259" spans="1:22" x14ac:dyDescent="0.2">
      <c r="D259" s="23" t="str">
        <f>"Объем: "&amp;Source!I183&amp;"=(4*"&amp;"17)/"&amp;"100"</f>
        <v>Объем: 0,68=(4*17)/100</v>
      </c>
    </row>
    <row r="260" spans="1:22" ht="14.25" x14ac:dyDescent="0.2">
      <c r="A260" s="19"/>
      <c r="B260" s="19"/>
      <c r="C260" s="19"/>
      <c r="D260" s="19" t="s">
        <v>500</v>
      </c>
      <c r="E260" s="20"/>
      <c r="F260" s="9"/>
      <c r="G260" s="22">
        <f>Source!AO183</f>
        <v>3211.89</v>
      </c>
      <c r="H260" s="21" t="str">
        <f>Source!DG183</f>
        <v>)*4</v>
      </c>
      <c r="I260" s="9">
        <f>Source!AV183</f>
        <v>1</v>
      </c>
      <c r="J260" s="9">
        <f>IF(Source!BA183&lt;&gt; 0, Source!BA183, 1)</f>
        <v>1</v>
      </c>
      <c r="K260" s="22">
        <f>Source!S183</f>
        <v>8736.34</v>
      </c>
      <c r="L260" s="22"/>
    </row>
    <row r="261" spans="1:22" ht="14.25" x14ac:dyDescent="0.2">
      <c r="A261" s="19"/>
      <c r="B261" s="19"/>
      <c r="C261" s="19"/>
      <c r="D261" s="19" t="s">
        <v>506</v>
      </c>
      <c r="E261" s="20"/>
      <c r="F261" s="9"/>
      <c r="G261" s="22">
        <f>Source!AM183</f>
        <v>912.11</v>
      </c>
      <c r="H261" s="21" t="str">
        <f>Source!DE183</f>
        <v>)*4</v>
      </c>
      <c r="I261" s="9">
        <f>Source!AV183</f>
        <v>1</v>
      </c>
      <c r="J261" s="9">
        <f>IF(Source!BB183&lt;&gt; 0, Source!BB183, 1)</f>
        <v>1</v>
      </c>
      <c r="K261" s="22">
        <f>Source!Q183</f>
        <v>2480.94</v>
      </c>
      <c r="L261" s="22"/>
    </row>
    <row r="262" spans="1:22" ht="14.25" x14ac:dyDescent="0.2">
      <c r="A262" s="19"/>
      <c r="B262" s="19"/>
      <c r="C262" s="19"/>
      <c r="D262" s="19" t="s">
        <v>507</v>
      </c>
      <c r="E262" s="20"/>
      <c r="F262" s="9"/>
      <c r="G262" s="22">
        <f>Source!AN183</f>
        <v>578.34</v>
      </c>
      <c r="H262" s="21" t="str">
        <f>Source!DF183</f>
        <v>)*4</v>
      </c>
      <c r="I262" s="9">
        <f>Source!AV183</f>
        <v>1</v>
      </c>
      <c r="J262" s="9">
        <f>IF(Source!BS183&lt;&gt; 0, Source!BS183, 1)</f>
        <v>1</v>
      </c>
      <c r="K262" s="27">
        <f>Source!R183</f>
        <v>1573.08</v>
      </c>
      <c r="L262" s="22"/>
    </row>
    <row r="263" spans="1:22" ht="14.25" x14ac:dyDescent="0.2">
      <c r="A263" s="19"/>
      <c r="B263" s="19"/>
      <c r="C263" s="19"/>
      <c r="D263" s="19" t="s">
        <v>508</v>
      </c>
      <c r="E263" s="20"/>
      <c r="F263" s="9"/>
      <c r="G263" s="22">
        <f>Source!AL183</f>
        <v>0.94</v>
      </c>
      <c r="H263" s="21" t="str">
        <f>Source!DD183</f>
        <v>)*4</v>
      </c>
      <c r="I263" s="9">
        <f>Source!AW183</f>
        <v>1</v>
      </c>
      <c r="J263" s="9">
        <f>IF(Source!BC183&lt;&gt; 0, Source!BC183, 1)</f>
        <v>1</v>
      </c>
      <c r="K263" s="22">
        <f>Source!P183</f>
        <v>2.56</v>
      </c>
      <c r="L263" s="22"/>
    </row>
    <row r="264" spans="1:22" ht="14.25" x14ac:dyDescent="0.2">
      <c r="A264" s="19"/>
      <c r="B264" s="19"/>
      <c r="C264" s="19"/>
      <c r="D264" s="19" t="s">
        <v>501</v>
      </c>
      <c r="E264" s="20" t="s">
        <v>502</v>
      </c>
      <c r="F264" s="9">
        <f>Source!AT183</f>
        <v>70</v>
      </c>
      <c r="G264" s="22"/>
      <c r="H264" s="21"/>
      <c r="I264" s="9"/>
      <c r="J264" s="9"/>
      <c r="K264" s="22">
        <f>SUM(R258:R263)</f>
        <v>6115.44</v>
      </c>
      <c r="L264" s="22"/>
    </row>
    <row r="265" spans="1:22" ht="14.25" x14ac:dyDescent="0.2">
      <c r="A265" s="19"/>
      <c r="B265" s="19"/>
      <c r="C265" s="19"/>
      <c r="D265" s="19" t="s">
        <v>503</v>
      </c>
      <c r="E265" s="20" t="s">
        <v>502</v>
      </c>
      <c r="F265" s="9">
        <f>Source!AU183</f>
        <v>10</v>
      </c>
      <c r="G265" s="22"/>
      <c r="H265" s="21"/>
      <c r="I265" s="9"/>
      <c r="J265" s="9"/>
      <c r="K265" s="22">
        <f>SUM(T258:T264)</f>
        <v>873.63</v>
      </c>
      <c r="L265" s="22"/>
    </row>
    <row r="266" spans="1:22" ht="14.25" x14ac:dyDescent="0.2">
      <c r="A266" s="19"/>
      <c r="B266" s="19"/>
      <c r="C266" s="19"/>
      <c r="D266" s="19" t="s">
        <v>509</v>
      </c>
      <c r="E266" s="20" t="s">
        <v>502</v>
      </c>
      <c r="F266" s="9">
        <f>108</f>
        <v>108</v>
      </c>
      <c r="G266" s="22"/>
      <c r="H266" s="21"/>
      <c r="I266" s="9"/>
      <c r="J266" s="9"/>
      <c r="K266" s="22">
        <f>SUM(V258:V265)</f>
        <v>1698.93</v>
      </c>
      <c r="L266" s="22"/>
    </row>
    <row r="267" spans="1:22" ht="14.25" x14ac:dyDescent="0.2">
      <c r="A267" s="19"/>
      <c r="B267" s="19"/>
      <c r="C267" s="19"/>
      <c r="D267" s="19" t="s">
        <v>504</v>
      </c>
      <c r="E267" s="20" t="s">
        <v>505</v>
      </c>
      <c r="F267" s="9">
        <f>Source!AQ183</f>
        <v>6</v>
      </c>
      <c r="G267" s="22"/>
      <c r="H267" s="21" t="str">
        <f>Source!DI183</f>
        <v>)*4</v>
      </c>
      <c r="I267" s="9">
        <f>Source!AV183</f>
        <v>1</v>
      </c>
      <c r="J267" s="9"/>
      <c r="K267" s="22"/>
      <c r="L267" s="22">
        <f>Source!U183</f>
        <v>16.32</v>
      </c>
    </row>
    <row r="268" spans="1:22" ht="15" x14ac:dyDescent="0.25">
      <c r="A268" s="25"/>
      <c r="B268" s="25"/>
      <c r="C268" s="25"/>
      <c r="D268" s="25"/>
      <c r="E268" s="25"/>
      <c r="F268" s="25"/>
      <c r="G268" s="25"/>
      <c r="H268" s="25"/>
      <c r="I268" s="25"/>
      <c r="J268" s="52">
        <f>K260+K261+K263+K264+K265+K266</f>
        <v>19907.84</v>
      </c>
      <c r="K268" s="52"/>
      <c r="L268" s="26">
        <f>IF(Source!I183&lt;&gt;0, ROUND(J268/Source!I183, 2), 0)</f>
        <v>29276.240000000002</v>
      </c>
      <c r="P268" s="24">
        <f>J268</f>
        <v>19907.84</v>
      </c>
    </row>
    <row r="269" spans="1:22" ht="71.25" x14ac:dyDescent="0.2">
      <c r="A269" s="19">
        <v>24</v>
      </c>
      <c r="B269" s="19">
        <v>24</v>
      </c>
      <c r="C269" s="19" t="str">
        <f>Source!F185</f>
        <v>1.21-2303-37-1/1</v>
      </c>
      <c r="D269" s="19" t="str">
        <f>Source!G185</f>
        <v>Техническое обслуживание накладной штепсельной силовой розетки с винтовыми зажимами, заземляющим контактом, степень защиты IP20, IP21, IP22 - полугодовое</v>
      </c>
      <c r="E269" s="20" t="str">
        <f>Source!H185</f>
        <v>10 шт.</v>
      </c>
      <c r="F269" s="9">
        <f>Source!I185</f>
        <v>5.6</v>
      </c>
      <c r="G269" s="22"/>
      <c r="H269" s="21"/>
      <c r="I269" s="9"/>
      <c r="J269" s="9"/>
      <c r="K269" s="22"/>
      <c r="L269" s="22"/>
      <c r="Q269">
        <f>ROUND((Source!BZ185/100)*ROUND((Source!AF185*Source!AV185)*Source!I185, 2), 2)</f>
        <v>435.71</v>
      </c>
      <c r="R269">
        <f>Source!X185</f>
        <v>435.71</v>
      </c>
      <c r="S269">
        <f>ROUND((Source!CA185/100)*ROUND((Source!AF185*Source!AV185)*Source!I185, 2), 2)</f>
        <v>62.24</v>
      </c>
      <c r="T269">
        <f>Source!Y185</f>
        <v>62.24</v>
      </c>
      <c r="U269">
        <f>ROUND((175/100)*ROUND((Source!AE185*Source!AV185)*Source!I185, 2), 2)</f>
        <v>0</v>
      </c>
      <c r="V269">
        <f>ROUND((108/100)*ROUND(Source!CS185*Source!I185, 2), 2)</f>
        <v>0</v>
      </c>
    </row>
    <row r="270" spans="1:22" x14ac:dyDescent="0.2">
      <c r="D270" s="23" t="str">
        <f>"Объем: "&amp;Source!I185&amp;"=(8*"&amp;"7)/"&amp;"10"</f>
        <v>Объем: 5,6=(8*7)/10</v>
      </c>
    </row>
    <row r="271" spans="1:22" ht="14.25" x14ac:dyDescent="0.2">
      <c r="A271" s="19"/>
      <c r="B271" s="19"/>
      <c r="C271" s="19"/>
      <c r="D271" s="19" t="s">
        <v>500</v>
      </c>
      <c r="E271" s="20"/>
      <c r="F271" s="9"/>
      <c r="G271" s="22">
        <f>Source!AO185</f>
        <v>111.15</v>
      </c>
      <c r="H271" s="21" t="str">
        <f>Source!DG185</f>
        <v/>
      </c>
      <c r="I271" s="9">
        <f>Source!AV185</f>
        <v>1</v>
      </c>
      <c r="J271" s="9">
        <f>IF(Source!BA185&lt;&gt; 0, Source!BA185, 1)</f>
        <v>1</v>
      </c>
      <c r="K271" s="22">
        <f>Source!S185</f>
        <v>622.44000000000005</v>
      </c>
      <c r="L271" s="22"/>
    </row>
    <row r="272" spans="1:22" ht="14.25" x14ac:dyDescent="0.2">
      <c r="A272" s="19"/>
      <c r="B272" s="19"/>
      <c r="C272" s="19"/>
      <c r="D272" s="19" t="s">
        <v>508</v>
      </c>
      <c r="E272" s="20"/>
      <c r="F272" s="9"/>
      <c r="G272" s="22">
        <f>Source!AL185</f>
        <v>6.3</v>
      </c>
      <c r="H272" s="21" t="str">
        <f>Source!DD185</f>
        <v/>
      </c>
      <c r="I272" s="9">
        <f>Source!AW185</f>
        <v>1</v>
      </c>
      <c r="J272" s="9">
        <f>IF(Source!BC185&lt;&gt; 0, Source!BC185, 1)</f>
        <v>1</v>
      </c>
      <c r="K272" s="22">
        <f>Source!P185</f>
        <v>35.28</v>
      </c>
      <c r="L272" s="22"/>
    </row>
    <row r="273" spans="1:22" ht="14.25" x14ac:dyDescent="0.2">
      <c r="A273" s="19"/>
      <c r="B273" s="19"/>
      <c r="C273" s="19"/>
      <c r="D273" s="19" t="s">
        <v>501</v>
      </c>
      <c r="E273" s="20" t="s">
        <v>502</v>
      </c>
      <c r="F273" s="9">
        <f>Source!AT185</f>
        <v>70</v>
      </c>
      <c r="G273" s="22"/>
      <c r="H273" s="21"/>
      <c r="I273" s="9"/>
      <c r="J273" s="9"/>
      <c r="K273" s="22">
        <f>SUM(R269:R272)</f>
        <v>435.71</v>
      </c>
      <c r="L273" s="22"/>
    </row>
    <row r="274" spans="1:22" ht="14.25" x14ac:dyDescent="0.2">
      <c r="A274" s="19"/>
      <c r="B274" s="19"/>
      <c r="C274" s="19"/>
      <c r="D274" s="19" t="s">
        <v>503</v>
      </c>
      <c r="E274" s="20" t="s">
        <v>502</v>
      </c>
      <c r="F274" s="9">
        <f>Source!AU185</f>
        <v>10</v>
      </c>
      <c r="G274" s="22"/>
      <c r="H274" s="21"/>
      <c r="I274" s="9"/>
      <c r="J274" s="9"/>
      <c r="K274" s="22">
        <f>SUM(T269:T273)</f>
        <v>62.24</v>
      </c>
      <c r="L274" s="22"/>
    </row>
    <row r="275" spans="1:22" ht="14.25" x14ac:dyDescent="0.2">
      <c r="A275" s="19"/>
      <c r="B275" s="19"/>
      <c r="C275" s="19"/>
      <c r="D275" s="19" t="s">
        <v>504</v>
      </c>
      <c r="E275" s="20" t="s">
        <v>505</v>
      </c>
      <c r="F275" s="9">
        <f>Source!AQ185</f>
        <v>0.18</v>
      </c>
      <c r="G275" s="22"/>
      <c r="H275" s="21" t="str">
        <f>Source!DI185</f>
        <v/>
      </c>
      <c r="I275" s="9">
        <f>Source!AV185</f>
        <v>1</v>
      </c>
      <c r="J275" s="9"/>
      <c r="K275" s="22"/>
      <c r="L275" s="22">
        <f>Source!U185</f>
        <v>1.008</v>
      </c>
    </row>
    <row r="276" spans="1:22" ht="15" x14ac:dyDescent="0.25">
      <c r="A276" s="25"/>
      <c r="B276" s="25"/>
      <c r="C276" s="25"/>
      <c r="D276" s="25"/>
      <c r="E276" s="25"/>
      <c r="F276" s="25"/>
      <c r="G276" s="25"/>
      <c r="H276" s="25"/>
      <c r="I276" s="25"/>
      <c r="J276" s="52">
        <f>K271+K272+K273+K274</f>
        <v>1155.67</v>
      </c>
      <c r="K276" s="52"/>
      <c r="L276" s="26">
        <f>IF(Source!I185&lt;&gt;0, ROUND(J276/Source!I185, 2), 0)</f>
        <v>206.37</v>
      </c>
      <c r="P276" s="24">
        <f>J276</f>
        <v>1155.67</v>
      </c>
    </row>
    <row r="278" spans="1:22" ht="15" x14ac:dyDescent="0.25">
      <c r="C278" s="55" t="str">
        <f>Source!G189</f>
        <v>Кабели и провода</v>
      </c>
      <c r="D278" s="55"/>
      <c r="E278" s="55"/>
      <c r="F278" s="55"/>
      <c r="G278" s="55"/>
      <c r="H278" s="55"/>
      <c r="I278" s="55"/>
      <c r="J278" s="55"/>
      <c r="K278" s="55"/>
    </row>
    <row r="279" spans="1:22" ht="57" x14ac:dyDescent="0.2">
      <c r="A279" s="19">
        <v>25</v>
      </c>
      <c r="B279" s="19">
        <v>25</v>
      </c>
      <c r="C279" s="19" t="str">
        <f>Source!F190</f>
        <v>1.21-2103-9-2/1</v>
      </c>
      <c r="D279" s="19" t="str">
        <f>Source!G190</f>
        <v>Техническое обслуживание силовых сетей, проложенных по кирпичным и бетонным основаниям, провод сечением 3х1,5-6 мм2 / прим. 3х2,5</v>
      </c>
      <c r="E279" s="20" t="str">
        <f>Source!H190</f>
        <v>100 м</v>
      </c>
      <c r="F279" s="9">
        <f>Source!I190</f>
        <v>0.22539999999999999</v>
      </c>
      <c r="G279" s="22"/>
      <c r="H279" s="21"/>
      <c r="I279" s="9"/>
      <c r="J279" s="9"/>
      <c r="K279" s="22"/>
      <c r="L279" s="22"/>
      <c r="Q279">
        <f>ROUND((Source!BZ190/100)*ROUND((Source!AF190*Source!AV190)*Source!I190, 2), 2)</f>
        <v>844.62</v>
      </c>
      <c r="R279">
        <f>Source!X190</f>
        <v>844.62</v>
      </c>
      <c r="S279">
        <f>ROUND((Source!CA190/100)*ROUND((Source!AF190*Source!AV190)*Source!I190, 2), 2)</f>
        <v>120.66</v>
      </c>
      <c r="T279">
        <f>Source!Y190</f>
        <v>120.66</v>
      </c>
      <c r="U279">
        <f>ROUND((175/100)*ROUND((Source!AE190*Source!AV190)*Source!I190, 2), 2)</f>
        <v>0</v>
      </c>
      <c r="V279">
        <f>ROUND((108/100)*ROUND(Source!CS190*Source!I190, 2), 2)</f>
        <v>0</v>
      </c>
    </row>
    <row r="280" spans="1:22" x14ac:dyDescent="0.2">
      <c r="D280" s="23" t="str">
        <f>"Объем: "&amp;Source!I190&amp;"=161*"&amp;"7*"&amp;"0,2*"&amp;"0,1/"&amp;"100"</f>
        <v>Объем: 0,2254=161*7*0,2*0,1/100</v>
      </c>
    </row>
    <row r="281" spans="1:22" ht="14.25" x14ac:dyDescent="0.2">
      <c r="A281" s="19"/>
      <c r="B281" s="19"/>
      <c r="C281" s="19"/>
      <c r="D281" s="19" t="s">
        <v>500</v>
      </c>
      <c r="E281" s="20"/>
      <c r="F281" s="9"/>
      <c r="G281" s="22">
        <f>Source!AO190</f>
        <v>5353.15</v>
      </c>
      <c r="H281" s="21" t="str">
        <f>Source!DG190</f>
        <v/>
      </c>
      <c r="I281" s="9">
        <f>Source!AV190</f>
        <v>1</v>
      </c>
      <c r="J281" s="9">
        <f>IF(Source!BA190&lt;&gt; 0, Source!BA190, 1)</f>
        <v>1</v>
      </c>
      <c r="K281" s="22">
        <f>Source!S190</f>
        <v>1206.5999999999999</v>
      </c>
      <c r="L281" s="22"/>
    </row>
    <row r="282" spans="1:22" ht="14.25" x14ac:dyDescent="0.2">
      <c r="A282" s="19"/>
      <c r="B282" s="19"/>
      <c r="C282" s="19"/>
      <c r="D282" s="19" t="s">
        <v>508</v>
      </c>
      <c r="E282" s="20"/>
      <c r="F282" s="9"/>
      <c r="G282" s="22">
        <f>Source!AL190</f>
        <v>22.51</v>
      </c>
      <c r="H282" s="21" t="str">
        <f>Source!DD190</f>
        <v/>
      </c>
      <c r="I282" s="9">
        <f>Source!AW190</f>
        <v>1</v>
      </c>
      <c r="J282" s="9">
        <f>IF(Source!BC190&lt;&gt; 0, Source!BC190, 1)</f>
        <v>1</v>
      </c>
      <c r="K282" s="22">
        <f>Source!P190</f>
        <v>5.07</v>
      </c>
      <c r="L282" s="22"/>
    </row>
    <row r="283" spans="1:22" ht="14.25" x14ac:dyDescent="0.2">
      <c r="A283" s="19"/>
      <c r="B283" s="19"/>
      <c r="C283" s="19"/>
      <c r="D283" s="19" t="s">
        <v>501</v>
      </c>
      <c r="E283" s="20" t="s">
        <v>502</v>
      </c>
      <c r="F283" s="9">
        <f>Source!AT190</f>
        <v>70</v>
      </c>
      <c r="G283" s="22"/>
      <c r="H283" s="21"/>
      <c r="I283" s="9"/>
      <c r="J283" s="9"/>
      <c r="K283" s="22">
        <f>SUM(R279:R282)</f>
        <v>844.62</v>
      </c>
      <c r="L283" s="22"/>
    </row>
    <row r="284" spans="1:22" ht="14.25" x14ac:dyDescent="0.2">
      <c r="A284" s="19"/>
      <c r="B284" s="19"/>
      <c r="C284" s="19"/>
      <c r="D284" s="19" t="s">
        <v>503</v>
      </c>
      <c r="E284" s="20" t="s">
        <v>502</v>
      </c>
      <c r="F284" s="9">
        <f>Source!AU190</f>
        <v>10</v>
      </c>
      <c r="G284" s="22"/>
      <c r="H284" s="21"/>
      <c r="I284" s="9"/>
      <c r="J284" s="9"/>
      <c r="K284" s="22">
        <f>SUM(T279:T283)</f>
        <v>120.66</v>
      </c>
      <c r="L284" s="22"/>
    </row>
    <row r="285" spans="1:22" ht="14.25" x14ac:dyDescent="0.2">
      <c r="A285" s="19"/>
      <c r="B285" s="19"/>
      <c r="C285" s="19"/>
      <c r="D285" s="19" t="s">
        <v>504</v>
      </c>
      <c r="E285" s="20" t="s">
        <v>505</v>
      </c>
      <c r="F285" s="9">
        <f>Source!AQ190</f>
        <v>10</v>
      </c>
      <c r="G285" s="22"/>
      <c r="H285" s="21" t="str">
        <f>Source!DI190</f>
        <v/>
      </c>
      <c r="I285" s="9">
        <f>Source!AV190</f>
        <v>1</v>
      </c>
      <c r="J285" s="9"/>
      <c r="K285" s="22"/>
      <c r="L285" s="22">
        <f>Source!U190</f>
        <v>2.254</v>
      </c>
    </row>
    <row r="286" spans="1:22" ht="15" x14ac:dyDescent="0.25">
      <c r="A286" s="25"/>
      <c r="B286" s="25"/>
      <c r="C286" s="25"/>
      <c r="D286" s="25"/>
      <c r="E286" s="25"/>
      <c r="F286" s="25"/>
      <c r="G286" s="25"/>
      <c r="H286" s="25"/>
      <c r="I286" s="25"/>
      <c r="J286" s="52">
        <f>K281+K282+K283+K284</f>
        <v>2176.9499999999998</v>
      </c>
      <c r="K286" s="52"/>
      <c r="L286" s="26">
        <f>IF(Source!I190&lt;&gt;0, ROUND(J286/Source!I190, 2), 0)</f>
        <v>9658.16</v>
      </c>
      <c r="P286" s="24">
        <f>J286</f>
        <v>2176.9499999999998</v>
      </c>
    </row>
    <row r="287" spans="1:22" ht="57" x14ac:dyDescent="0.2">
      <c r="A287" s="19">
        <v>26</v>
      </c>
      <c r="B287" s="19">
        <v>26</v>
      </c>
      <c r="C287" s="19" t="str">
        <f>Source!F192</f>
        <v>1.21-2103-9-2/1</v>
      </c>
      <c r="D287" s="19" t="str">
        <f>Source!G192</f>
        <v>Техническое обслуживание силовых сетей, проложенных по кирпичным и бетонным основаниям, провод сечением 3х1,5-6 мм2</v>
      </c>
      <c r="E287" s="20" t="str">
        <f>Source!H192</f>
        <v>100 м</v>
      </c>
      <c r="F287" s="9">
        <f>Source!I192</f>
        <v>0.16239999999999999</v>
      </c>
      <c r="G287" s="22"/>
      <c r="H287" s="21"/>
      <c r="I287" s="9"/>
      <c r="J287" s="9"/>
      <c r="K287" s="22"/>
      <c r="L287" s="22"/>
      <c r="Q287">
        <f>ROUND((Source!BZ192/100)*ROUND((Source!AF192*Source!AV192)*Source!I192, 2), 2)</f>
        <v>608.54999999999995</v>
      </c>
      <c r="R287">
        <f>Source!X192</f>
        <v>608.54999999999995</v>
      </c>
      <c r="S287">
        <f>ROUND((Source!CA192/100)*ROUND((Source!AF192*Source!AV192)*Source!I192, 2), 2)</f>
        <v>86.94</v>
      </c>
      <c r="T287">
        <f>Source!Y192</f>
        <v>86.94</v>
      </c>
      <c r="U287">
        <f>ROUND((175/100)*ROUND((Source!AE192*Source!AV192)*Source!I192, 2), 2)</f>
        <v>0</v>
      </c>
      <c r="V287">
        <f>ROUND((108/100)*ROUND(Source!CS192*Source!I192, 2), 2)</f>
        <v>0</v>
      </c>
    </row>
    <row r="288" spans="1:22" x14ac:dyDescent="0.2">
      <c r="D288" s="23" t="str">
        <f>"Объем: "&amp;Source!I192&amp;"=116*"&amp;"7*"&amp;"0,2*"&amp;"0,1/"&amp;"100"</f>
        <v>Объем: 0,1624=116*7*0,2*0,1/100</v>
      </c>
    </row>
    <row r="289" spans="1:22" ht="14.25" x14ac:dyDescent="0.2">
      <c r="A289" s="19"/>
      <c r="B289" s="19"/>
      <c r="C289" s="19"/>
      <c r="D289" s="19" t="s">
        <v>500</v>
      </c>
      <c r="E289" s="20"/>
      <c r="F289" s="9"/>
      <c r="G289" s="22">
        <f>Source!AO192</f>
        <v>5353.15</v>
      </c>
      <c r="H289" s="21" t="str">
        <f>Source!DG192</f>
        <v/>
      </c>
      <c r="I289" s="9">
        <f>Source!AV192</f>
        <v>1</v>
      </c>
      <c r="J289" s="9">
        <f>IF(Source!BA192&lt;&gt; 0, Source!BA192, 1)</f>
        <v>1</v>
      </c>
      <c r="K289" s="22">
        <f>Source!S192</f>
        <v>869.35</v>
      </c>
      <c r="L289" s="22"/>
    </row>
    <row r="290" spans="1:22" ht="14.25" x14ac:dyDescent="0.2">
      <c r="A290" s="19"/>
      <c r="B290" s="19"/>
      <c r="C290" s="19"/>
      <c r="D290" s="19" t="s">
        <v>508</v>
      </c>
      <c r="E290" s="20"/>
      <c r="F290" s="9"/>
      <c r="G290" s="22">
        <f>Source!AL192</f>
        <v>22.51</v>
      </c>
      <c r="H290" s="21" t="str">
        <f>Source!DD192</f>
        <v/>
      </c>
      <c r="I290" s="9">
        <f>Source!AW192</f>
        <v>1</v>
      </c>
      <c r="J290" s="9">
        <f>IF(Source!BC192&lt;&gt; 0, Source!BC192, 1)</f>
        <v>1</v>
      </c>
      <c r="K290" s="22">
        <f>Source!P192</f>
        <v>3.66</v>
      </c>
      <c r="L290" s="22"/>
    </row>
    <row r="291" spans="1:22" ht="14.25" x14ac:dyDescent="0.2">
      <c r="A291" s="19"/>
      <c r="B291" s="19"/>
      <c r="C291" s="19"/>
      <c r="D291" s="19" t="s">
        <v>501</v>
      </c>
      <c r="E291" s="20" t="s">
        <v>502</v>
      </c>
      <c r="F291" s="9">
        <f>Source!AT192</f>
        <v>70</v>
      </c>
      <c r="G291" s="22"/>
      <c r="H291" s="21"/>
      <c r="I291" s="9"/>
      <c r="J291" s="9"/>
      <c r="K291" s="22">
        <f>SUM(R287:R290)</f>
        <v>608.54999999999995</v>
      </c>
      <c r="L291" s="22"/>
    </row>
    <row r="292" spans="1:22" ht="14.25" x14ac:dyDescent="0.2">
      <c r="A292" s="19"/>
      <c r="B292" s="19"/>
      <c r="C292" s="19"/>
      <c r="D292" s="19" t="s">
        <v>503</v>
      </c>
      <c r="E292" s="20" t="s">
        <v>502</v>
      </c>
      <c r="F292" s="9">
        <f>Source!AU192</f>
        <v>10</v>
      </c>
      <c r="G292" s="22"/>
      <c r="H292" s="21"/>
      <c r="I292" s="9"/>
      <c r="J292" s="9"/>
      <c r="K292" s="22">
        <f>SUM(T287:T291)</f>
        <v>86.94</v>
      </c>
      <c r="L292" s="22"/>
    </row>
    <row r="293" spans="1:22" ht="14.25" x14ac:dyDescent="0.2">
      <c r="A293" s="19"/>
      <c r="B293" s="19"/>
      <c r="C293" s="19"/>
      <c r="D293" s="19" t="s">
        <v>504</v>
      </c>
      <c r="E293" s="20" t="s">
        <v>505</v>
      </c>
      <c r="F293" s="9">
        <f>Source!AQ192</f>
        <v>10</v>
      </c>
      <c r="G293" s="22"/>
      <c r="H293" s="21" t="str">
        <f>Source!DI192</f>
        <v/>
      </c>
      <c r="I293" s="9">
        <f>Source!AV192</f>
        <v>1</v>
      </c>
      <c r="J293" s="9"/>
      <c r="K293" s="22"/>
      <c r="L293" s="22">
        <f>Source!U192</f>
        <v>1.6239999999999999</v>
      </c>
    </row>
    <row r="294" spans="1:22" ht="15" x14ac:dyDescent="0.25">
      <c r="A294" s="25"/>
      <c r="B294" s="25"/>
      <c r="C294" s="25"/>
      <c r="D294" s="25"/>
      <c r="E294" s="25"/>
      <c r="F294" s="25"/>
      <c r="G294" s="25"/>
      <c r="H294" s="25"/>
      <c r="I294" s="25"/>
      <c r="J294" s="52">
        <f>K289+K290+K291+K292</f>
        <v>1568.5</v>
      </c>
      <c r="K294" s="52"/>
      <c r="L294" s="26">
        <f>IF(Source!I192&lt;&gt;0, ROUND(J294/Source!I192, 2), 0)</f>
        <v>9658.25</v>
      </c>
      <c r="P294" s="24">
        <f>J294</f>
        <v>1568.5</v>
      </c>
    </row>
    <row r="296" spans="1:22" ht="15" x14ac:dyDescent="0.25">
      <c r="C296" s="55" t="str">
        <f>Source!G196</f>
        <v>Прочее электрооборудование</v>
      </c>
      <c r="D296" s="55"/>
      <c r="E296" s="55"/>
      <c r="F296" s="55"/>
      <c r="G296" s="55"/>
      <c r="H296" s="55"/>
      <c r="I296" s="55"/>
      <c r="J296" s="55"/>
      <c r="K296" s="55"/>
    </row>
    <row r="297" spans="1:22" ht="42.75" x14ac:dyDescent="0.2">
      <c r="A297" s="19">
        <v>27</v>
      </c>
      <c r="B297" s="19">
        <v>27</v>
      </c>
      <c r="C297" s="19" t="str">
        <f>Source!F197</f>
        <v>1.21-3301-35-1/1</v>
      </c>
      <c r="D297" s="19" t="str">
        <f>Source!G197</f>
        <v>Ремонт электрополотенца (сушителя для рук) с заменой датчика включения (без стоимости датчика)</v>
      </c>
      <c r="E297" s="20" t="str">
        <f>Source!H197</f>
        <v>шт.</v>
      </c>
      <c r="F297" s="9">
        <f>Source!I197</f>
        <v>14</v>
      </c>
      <c r="G297" s="22"/>
      <c r="H297" s="21"/>
      <c r="I297" s="9"/>
      <c r="J297" s="9"/>
      <c r="K297" s="22"/>
      <c r="L297" s="22"/>
      <c r="Q297">
        <f>ROUND((Source!BZ197/100)*ROUND((Source!AF197*Source!AV197)*Source!I197, 2), 2)</f>
        <v>1688.83</v>
      </c>
      <c r="R297">
        <f>Source!X197</f>
        <v>1688.83</v>
      </c>
      <c r="S297">
        <f>ROUND((Source!CA197/100)*ROUND((Source!AF197*Source!AV197)*Source!I197, 2), 2)</f>
        <v>241.26</v>
      </c>
      <c r="T297">
        <f>Source!Y197</f>
        <v>241.26</v>
      </c>
      <c r="U297">
        <f>ROUND((175/100)*ROUND((Source!AE197*Source!AV197)*Source!I197, 2), 2)</f>
        <v>0</v>
      </c>
      <c r="V297">
        <f>ROUND((108/100)*ROUND(Source!CS197*Source!I197, 2), 2)</f>
        <v>0</v>
      </c>
    </row>
    <row r="298" spans="1:22" x14ac:dyDescent="0.2">
      <c r="D298" s="23" t="str">
        <f>"Объем: "&amp;Source!I197&amp;"=2*"&amp;"7"</f>
        <v>Объем: 14=2*7</v>
      </c>
    </row>
    <row r="299" spans="1:22" ht="14.25" x14ac:dyDescent="0.2">
      <c r="A299" s="19"/>
      <c r="B299" s="19"/>
      <c r="C299" s="19"/>
      <c r="D299" s="19" t="s">
        <v>500</v>
      </c>
      <c r="E299" s="20"/>
      <c r="F299" s="9"/>
      <c r="G299" s="22">
        <f>Source!AO197</f>
        <v>172.33</v>
      </c>
      <c r="H299" s="21" t="str">
        <f>Source!DG197</f>
        <v/>
      </c>
      <c r="I299" s="9">
        <f>Source!AV197</f>
        <v>1</v>
      </c>
      <c r="J299" s="9">
        <f>IF(Source!BA197&lt;&gt; 0, Source!BA197, 1)</f>
        <v>1</v>
      </c>
      <c r="K299" s="22">
        <f>Source!S197</f>
        <v>2412.62</v>
      </c>
      <c r="L299" s="22"/>
    </row>
    <row r="300" spans="1:22" ht="14.25" x14ac:dyDescent="0.2">
      <c r="A300" s="19"/>
      <c r="B300" s="19"/>
      <c r="C300" s="19"/>
      <c r="D300" s="19" t="s">
        <v>508</v>
      </c>
      <c r="E300" s="20"/>
      <c r="F300" s="9"/>
      <c r="G300" s="22">
        <f>Source!AL197</f>
        <v>8.26</v>
      </c>
      <c r="H300" s="21" t="str">
        <f>Source!DD197</f>
        <v/>
      </c>
      <c r="I300" s="9">
        <f>Source!AW197</f>
        <v>1</v>
      </c>
      <c r="J300" s="9">
        <f>IF(Source!BC197&lt;&gt; 0, Source!BC197, 1)</f>
        <v>1</v>
      </c>
      <c r="K300" s="22">
        <f>Source!P197</f>
        <v>115.64</v>
      </c>
      <c r="L300" s="22"/>
    </row>
    <row r="301" spans="1:22" ht="14.25" x14ac:dyDescent="0.2">
      <c r="A301" s="19"/>
      <c r="B301" s="19"/>
      <c r="C301" s="19"/>
      <c r="D301" s="19" t="s">
        <v>501</v>
      </c>
      <c r="E301" s="20" t="s">
        <v>502</v>
      </c>
      <c r="F301" s="9">
        <f>Source!AT197</f>
        <v>70</v>
      </c>
      <c r="G301" s="22"/>
      <c r="H301" s="21"/>
      <c r="I301" s="9"/>
      <c r="J301" s="9"/>
      <c r="K301" s="22">
        <f>SUM(R297:R300)</f>
        <v>1688.83</v>
      </c>
      <c r="L301" s="22"/>
    </row>
    <row r="302" spans="1:22" ht="14.25" x14ac:dyDescent="0.2">
      <c r="A302" s="19"/>
      <c r="B302" s="19"/>
      <c r="C302" s="19"/>
      <c r="D302" s="19" t="s">
        <v>503</v>
      </c>
      <c r="E302" s="20" t="s">
        <v>502</v>
      </c>
      <c r="F302" s="9">
        <f>Source!AU197</f>
        <v>10</v>
      </c>
      <c r="G302" s="22"/>
      <c r="H302" s="21"/>
      <c r="I302" s="9"/>
      <c r="J302" s="9"/>
      <c r="K302" s="22">
        <f>SUM(T297:T301)</f>
        <v>241.26</v>
      </c>
      <c r="L302" s="22"/>
    </row>
    <row r="303" spans="1:22" ht="14.25" x14ac:dyDescent="0.2">
      <c r="A303" s="19"/>
      <c r="B303" s="19"/>
      <c r="C303" s="19"/>
      <c r="D303" s="19" t="s">
        <v>504</v>
      </c>
      <c r="E303" s="20" t="s">
        <v>505</v>
      </c>
      <c r="F303" s="9">
        <f>Source!AQ197</f>
        <v>0.34</v>
      </c>
      <c r="G303" s="22"/>
      <c r="H303" s="21" t="str">
        <f>Source!DI197</f>
        <v/>
      </c>
      <c r="I303" s="9">
        <f>Source!AV197</f>
        <v>1</v>
      </c>
      <c r="J303" s="9"/>
      <c r="K303" s="22"/>
      <c r="L303" s="22">
        <f>Source!U197</f>
        <v>4.7600000000000007</v>
      </c>
    </row>
    <row r="304" spans="1:22" ht="15" x14ac:dyDescent="0.25">
      <c r="A304" s="25"/>
      <c r="B304" s="25"/>
      <c r="C304" s="25"/>
      <c r="D304" s="25"/>
      <c r="E304" s="25"/>
      <c r="F304" s="25"/>
      <c r="G304" s="25"/>
      <c r="H304" s="25"/>
      <c r="I304" s="25"/>
      <c r="J304" s="52">
        <f>K299+K300+K301+K302</f>
        <v>4458.3500000000004</v>
      </c>
      <c r="K304" s="52"/>
      <c r="L304" s="26">
        <f>IF(Source!I197&lt;&gt;0, ROUND(J304/Source!I197, 2), 0)</f>
        <v>318.45</v>
      </c>
      <c r="P304" s="24">
        <f>J304</f>
        <v>4458.3500000000004</v>
      </c>
    </row>
    <row r="305" spans="1:32" ht="71.25" x14ac:dyDescent="0.2">
      <c r="A305" s="19">
        <v>28</v>
      </c>
      <c r="B305" s="19">
        <v>28</v>
      </c>
      <c r="C305" s="19" t="str">
        <f>Source!F198</f>
        <v>1.21-2103-9-2/1</v>
      </c>
      <c r="D305" s="19" t="str">
        <f>Source!G198</f>
        <v>Техническое обслуживание силовых сетей, проложенных по кирпичным и бетонным основаниям, провод сечением 3х1,5-6 мм2 / кабель греющий</v>
      </c>
      <c r="E305" s="20" t="str">
        <f>Source!H198</f>
        <v>100 м</v>
      </c>
      <c r="F305" s="9">
        <f>Source!I198</f>
        <v>1.4E-2</v>
      </c>
      <c r="G305" s="22"/>
      <c r="H305" s="21"/>
      <c r="I305" s="9"/>
      <c r="J305" s="9"/>
      <c r="K305" s="22"/>
      <c r="L305" s="22"/>
      <c r="Q305">
        <f>ROUND((Source!BZ198/100)*ROUND((Source!AF198*Source!AV198)*Source!I198, 2), 2)</f>
        <v>52.46</v>
      </c>
      <c r="R305">
        <f>Source!X198</f>
        <v>52.46</v>
      </c>
      <c r="S305">
        <f>ROUND((Source!CA198/100)*ROUND((Source!AF198*Source!AV198)*Source!I198, 2), 2)</f>
        <v>7.49</v>
      </c>
      <c r="T305">
        <f>Source!Y198</f>
        <v>7.49</v>
      </c>
      <c r="U305">
        <f>ROUND((175/100)*ROUND((Source!AE198*Source!AV198)*Source!I198, 2), 2)</f>
        <v>0</v>
      </c>
      <c r="V305">
        <f>ROUND((108/100)*ROUND(Source!CS198*Source!I198, 2), 2)</f>
        <v>0</v>
      </c>
    </row>
    <row r="306" spans="1:32" x14ac:dyDescent="0.2">
      <c r="D306" s="23" t="str">
        <f>"Объем: "&amp;Source!I198&amp;"=10*"&amp;"7*"&amp;"0,2*"&amp;"0,1/"&amp;"100"</f>
        <v>Объем: 0,014=10*7*0,2*0,1/100</v>
      </c>
    </row>
    <row r="307" spans="1:32" ht="14.25" x14ac:dyDescent="0.2">
      <c r="A307" s="19"/>
      <c r="B307" s="19"/>
      <c r="C307" s="19"/>
      <c r="D307" s="19" t="s">
        <v>500</v>
      </c>
      <c r="E307" s="20"/>
      <c r="F307" s="9"/>
      <c r="G307" s="22">
        <f>Source!AO198</f>
        <v>5353.15</v>
      </c>
      <c r="H307" s="21" t="str">
        <f>Source!DG198</f>
        <v/>
      </c>
      <c r="I307" s="9">
        <f>Source!AV198</f>
        <v>1</v>
      </c>
      <c r="J307" s="9">
        <f>IF(Source!BA198&lt;&gt; 0, Source!BA198, 1)</f>
        <v>1</v>
      </c>
      <c r="K307" s="22">
        <f>Source!S198</f>
        <v>74.94</v>
      </c>
      <c r="L307" s="22"/>
    </row>
    <row r="308" spans="1:32" ht="14.25" x14ac:dyDescent="0.2">
      <c r="A308" s="19"/>
      <c r="B308" s="19"/>
      <c r="C308" s="19"/>
      <c r="D308" s="19" t="s">
        <v>508</v>
      </c>
      <c r="E308" s="20"/>
      <c r="F308" s="9"/>
      <c r="G308" s="22">
        <f>Source!AL198</f>
        <v>22.51</v>
      </c>
      <c r="H308" s="21" t="str">
        <f>Source!DD198</f>
        <v/>
      </c>
      <c r="I308" s="9">
        <f>Source!AW198</f>
        <v>1</v>
      </c>
      <c r="J308" s="9">
        <f>IF(Source!BC198&lt;&gt; 0, Source!BC198, 1)</f>
        <v>1</v>
      </c>
      <c r="K308" s="22">
        <f>Source!P198</f>
        <v>0.32</v>
      </c>
      <c r="L308" s="22"/>
    </row>
    <row r="309" spans="1:32" ht="14.25" x14ac:dyDescent="0.2">
      <c r="A309" s="19"/>
      <c r="B309" s="19"/>
      <c r="C309" s="19"/>
      <c r="D309" s="19" t="s">
        <v>501</v>
      </c>
      <c r="E309" s="20" t="s">
        <v>502</v>
      </c>
      <c r="F309" s="9">
        <f>Source!AT198</f>
        <v>70</v>
      </c>
      <c r="G309" s="22"/>
      <c r="H309" s="21"/>
      <c r="I309" s="9"/>
      <c r="J309" s="9"/>
      <c r="K309" s="22">
        <f>SUM(R305:R308)</f>
        <v>52.46</v>
      </c>
      <c r="L309" s="22"/>
    </row>
    <row r="310" spans="1:32" ht="14.25" x14ac:dyDescent="0.2">
      <c r="A310" s="19"/>
      <c r="B310" s="19"/>
      <c r="C310" s="19"/>
      <c r="D310" s="19" t="s">
        <v>503</v>
      </c>
      <c r="E310" s="20" t="s">
        <v>502</v>
      </c>
      <c r="F310" s="9">
        <f>Source!AU198</f>
        <v>10</v>
      </c>
      <c r="G310" s="22"/>
      <c r="H310" s="21"/>
      <c r="I310" s="9"/>
      <c r="J310" s="9"/>
      <c r="K310" s="22">
        <f>SUM(T305:T309)</f>
        <v>7.49</v>
      </c>
      <c r="L310" s="22"/>
    </row>
    <row r="311" spans="1:32" ht="14.25" x14ac:dyDescent="0.2">
      <c r="A311" s="19"/>
      <c r="B311" s="19"/>
      <c r="C311" s="19"/>
      <c r="D311" s="19" t="s">
        <v>504</v>
      </c>
      <c r="E311" s="20" t="s">
        <v>505</v>
      </c>
      <c r="F311" s="9">
        <f>Source!AQ198</f>
        <v>10</v>
      </c>
      <c r="G311" s="22"/>
      <c r="H311" s="21" t="str">
        <f>Source!DI198</f>
        <v/>
      </c>
      <c r="I311" s="9">
        <f>Source!AV198</f>
        <v>1</v>
      </c>
      <c r="J311" s="9"/>
      <c r="K311" s="22"/>
      <c r="L311" s="22">
        <f>Source!U198</f>
        <v>0.14000000000000001</v>
      </c>
    </row>
    <row r="312" spans="1:32" ht="15" x14ac:dyDescent="0.25">
      <c r="A312" s="25"/>
      <c r="B312" s="25"/>
      <c r="C312" s="25"/>
      <c r="D312" s="25"/>
      <c r="E312" s="25"/>
      <c r="F312" s="25"/>
      <c r="G312" s="25"/>
      <c r="H312" s="25"/>
      <c r="I312" s="25"/>
      <c r="J312" s="52">
        <f>K307+K308+K309+K310</f>
        <v>135.21</v>
      </c>
      <c r="K312" s="52"/>
      <c r="L312" s="26">
        <f>IF(Source!I198&lt;&gt;0, ROUND(J312/Source!I198, 2), 0)</f>
        <v>9657.86</v>
      </c>
      <c r="P312" s="24">
        <f>J312</f>
        <v>135.21</v>
      </c>
    </row>
    <row r="314" spans="1:32" ht="15" x14ac:dyDescent="0.25">
      <c r="A314" s="54" t="str">
        <f>CONCATENATE("Итого по подразделу: ",IF(Source!G201&lt;&gt;"Новый подраздел", Source!G201, ""))</f>
        <v>Итого по подразделу: Система электроснабжения</v>
      </c>
      <c r="B314" s="54"/>
      <c r="C314" s="54"/>
      <c r="D314" s="54"/>
      <c r="E314" s="54"/>
      <c r="F314" s="54"/>
      <c r="G314" s="54"/>
      <c r="H314" s="54"/>
      <c r="I314" s="54"/>
      <c r="J314" s="53">
        <f>SUM(P195:P313)</f>
        <v>379660.11000000004</v>
      </c>
      <c r="K314" s="73"/>
      <c r="L314" s="28"/>
    </row>
    <row r="317" spans="1:32" ht="30" x14ac:dyDescent="0.25">
      <c r="A317" s="54" t="str">
        <f>CONCATENATE("Итого по разделу: ",IF(Source!G231&lt;&gt;"Новый раздел", Source!G231, ""))</f>
        <v>Итого по разделу: Туалетные модули (7 шт) по адресу: г. Москва, городское поселение Краснопахорское, квартал 107</v>
      </c>
      <c r="B317" s="54"/>
      <c r="C317" s="54"/>
      <c r="D317" s="54"/>
      <c r="E317" s="54"/>
      <c r="F317" s="54"/>
      <c r="G317" s="54"/>
      <c r="H317" s="54"/>
      <c r="I317" s="54"/>
      <c r="J317" s="53">
        <f>SUM(P40:P316)</f>
        <v>989775.24000000011</v>
      </c>
      <c r="K317" s="73"/>
      <c r="L317" s="28"/>
      <c r="AF317" s="29" t="str">
        <f>CONCATENATE("Итого по разделу: ",IF(Source!G231&lt;&gt;"Новый раздел", Source!G231, ""))</f>
        <v>Итого по разделу: Туалетные модули (7 шт) по адресу: г. Москва, городское поселение Краснопахорское, квартал 107</v>
      </c>
    </row>
    <row r="320" spans="1:32" ht="16.5" x14ac:dyDescent="0.25">
      <c r="A320" s="51" t="str">
        <f>CONCATENATE("Раздел: ",IF(Source!G261&lt;&gt;"Новый раздел", Source!G261, ""))</f>
        <v>Раздел: Дом односекционный  (15 шт.) по адресу: г. Москва, городское поселение Краснопахорское, квартал 107</v>
      </c>
      <c r="B320" s="51"/>
      <c r="C320" s="51"/>
      <c r="D320" s="51"/>
      <c r="E320" s="51"/>
      <c r="F320" s="51"/>
      <c r="G320" s="51"/>
      <c r="H320" s="51"/>
      <c r="I320" s="51"/>
      <c r="J320" s="51"/>
      <c r="K320" s="51"/>
      <c r="L320" s="51"/>
      <c r="AE320" s="18" t="str">
        <f>CONCATENATE("Раздел: ",IF(Source!G261&lt;&gt;"Новый раздел", Source!G261, ""))</f>
        <v>Раздел: Дом односекционный  (15 шт.) по адресу: г. Москва, городское поселение Краснопахорское, квартал 107</v>
      </c>
    </row>
    <row r="322" spans="1:22" ht="16.5" x14ac:dyDescent="0.25">
      <c r="A322" s="51" t="str">
        <f>CONCATENATE("Подраздел: ",IF(Source!G265&lt;&gt;"Новый подраздел", Source!G265, ""))</f>
        <v>Подраздел: Система внутреннего водоснабжения и водоотведения</v>
      </c>
      <c r="B322" s="51"/>
      <c r="C322" s="51"/>
      <c r="D322" s="51"/>
      <c r="E322" s="51"/>
      <c r="F322" s="51"/>
      <c r="G322" s="51"/>
      <c r="H322" s="51"/>
      <c r="I322" s="51"/>
      <c r="J322" s="51"/>
      <c r="K322" s="51"/>
      <c r="L322" s="51"/>
    </row>
    <row r="323" spans="1:22" ht="28.5" x14ac:dyDescent="0.2">
      <c r="A323" s="19">
        <v>29</v>
      </c>
      <c r="B323" s="19">
        <v>29</v>
      </c>
      <c r="C323" s="19" t="str">
        <f>Source!F271</f>
        <v>1.16-3201-2-1/1</v>
      </c>
      <c r="D323" s="19" t="str">
        <f>Source!G271</f>
        <v>Укрепление расшатавшихся санитарно-технических приборов - умывальники</v>
      </c>
      <c r="E323" s="20" t="str">
        <f>Source!H271</f>
        <v>100 шт.</v>
      </c>
      <c r="F323" s="9">
        <f>Source!I271</f>
        <v>0.15</v>
      </c>
      <c r="G323" s="22"/>
      <c r="H323" s="21"/>
      <c r="I323" s="9"/>
      <c r="J323" s="9"/>
      <c r="K323" s="22"/>
      <c r="L323" s="22"/>
      <c r="Q323">
        <f>ROUND((Source!BZ271/100)*ROUND((Source!AF271*Source!AV271)*Source!I271, 2), 2)</f>
        <v>5558.22</v>
      </c>
      <c r="R323">
        <f>Source!X271</f>
        <v>5558.22</v>
      </c>
      <c r="S323">
        <f>ROUND((Source!CA271/100)*ROUND((Source!AF271*Source!AV271)*Source!I271, 2), 2)</f>
        <v>794.03</v>
      </c>
      <c r="T323">
        <f>Source!Y271</f>
        <v>794.03</v>
      </c>
      <c r="U323">
        <f>ROUND((175/100)*ROUND((Source!AE271*Source!AV271)*Source!I271, 2), 2)</f>
        <v>0.19</v>
      </c>
      <c r="V323">
        <f>ROUND((108/100)*ROUND(Source!CS271*Source!I271, 2), 2)</f>
        <v>0.12</v>
      </c>
    </row>
    <row r="324" spans="1:22" x14ac:dyDescent="0.2">
      <c r="D324" s="23" t="str">
        <f>"Объем: "&amp;Source!I271&amp;"=(15)*"&amp;"1/"&amp;"100"</f>
        <v>Объем: 0,15=(15)*1/100</v>
      </c>
    </row>
    <row r="325" spans="1:22" ht="14.25" x14ac:dyDescent="0.2">
      <c r="A325" s="19"/>
      <c r="B325" s="19"/>
      <c r="C325" s="19"/>
      <c r="D325" s="19" t="s">
        <v>500</v>
      </c>
      <c r="E325" s="20"/>
      <c r="F325" s="9"/>
      <c r="G325" s="22">
        <f>Source!AO271</f>
        <v>52935.41</v>
      </c>
      <c r="H325" s="21" t="str">
        <f>Source!DG271</f>
        <v/>
      </c>
      <c r="I325" s="9">
        <f>Source!AV271</f>
        <v>1</v>
      </c>
      <c r="J325" s="9">
        <f>IF(Source!BA271&lt;&gt; 0, Source!BA271, 1)</f>
        <v>1</v>
      </c>
      <c r="K325" s="22">
        <f>Source!S271</f>
        <v>7940.31</v>
      </c>
      <c r="L325" s="22"/>
    </row>
    <row r="326" spans="1:22" ht="14.25" x14ac:dyDescent="0.2">
      <c r="A326" s="19"/>
      <c r="B326" s="19"/>
      <c r="C326" s="19"/>
      <c r="D326" s="19" t="s">
        <v>506</v>
      </c>
      <c r="E326" s="20"/>
      <c r="F326" s="9"/>
      <c r="G326" s="22">
        <f>Source!AM271</f>
        <v>61.83</v>
      </c>
      <c r="H326" s="21" t="str">
        <f>Source!DE271</f>
        <v/>
      </c>
      <c r="I326" s="9">
        <f>Source!AV271</f>
        <v>1</v>
      </c>
      <c r="J326" s="9">
        <f>IF(Source!BB271&lt;&gt; 0, Source!BB271, 1)</f>
        <v>1</v>
      </c>
      <c r="K326" s="22">
        <f>Source!Q271</f>
        <v>9.27</v>
      </c>
      <c r="L326" s="22"/>
    </row>
    <row r="327" spans="1:22" ht="14.25" x14ac:dyDescent="0.2">
      <c r="A327" s="19"/>
      <c r="B327" s="19"/>
      <c r="C327" s="19"/>
      <c r="D327" s="19" t="s">
        <v>507</v>
      </c>
      <c r="E327" s="20"/>
      <c r="F327" s="9"/>
      <c r="G327" s="22">
        <f>Source!AN271</f>
        <v>0.7</v>
      </c>
      <c r="H327" s="21" t="str">
        <f>Source!DF271</f>
        <v/>
      </c>
      <c r="I327" s="9">
        <f>Source!AV271</f>
        <v>1</v>
      </c>
      <c r="J327" s="9">
        <f>IF(Source!BS271&lt;&gt; 0, Source!BS271, 1)</f>
        <v>1</v>
      </c>
      <c r="K327" s="27">
        <f>Source!R271</f>
        <v>0.11</v>
      </c>
      <c r="L327" s="22"/>
    </row>
    <row r="328" spans="1:22" ht="14.25" x14ac:dyDescent="0.2">
      <c r="A328" s="19"/>
      <c r="B328" s="19"/>
      <c r="C328" s="19"/>
      <c r="D328" s="19" t="s">
        <v>508</v>
      </c>
      <c r="E328" s="20"/>
      <c r="F328" s="9"/>
      <c r="G328" s="22">
        <f>Source!AL271</f>
        <v>776.55</v>
      </c>
      <c r="H328" s="21" t="str">
        <f>Source!DD271</f>
        <v/>
      </c>
      <c r="I328" s="9">
        <f>Source!AW271</f>
        <v>1</v>
      </c>
      <c r="J328" s="9">
        <f>IF(Source!BC271&lt;&gt; 0, Source!BC271, 1)</f>
        <v>1</v>
      </c>
      <c r="K328" s="22">
        <f>Source!P271</f>
        <v>116.48</v>
      </c>
      <c r="L328" s="22"/>
    </row>
    <row r="329" spans="1:22" ht="14.25" x14ac:dyDescent="0.2">
      <c r="A329" s="19"/>
      <c r="B329" s="19"/>
      <c r="C329" s="19"/>
      <c r="D329" s="19" t="s">
        <v>501</v>
      </c>
      <c r="E329" s="20" t="s">
        <v>502</v>
      </c>
      <c r="F329" s="9">
        <f>Source!AT271</f>
        <v>70</v>
      </c>
      <c r="G329" s="22"/>
      <c r="H329" s="21"/>
      <c r="I329" s="9"/>
      <c r="J329" s="9"/>
      <c r="K329" s="22">
        <f>SUM(R323:R328)</f>
        <v>5558.22</v>
      </c>
      <c r="L329" s="22"/>
    </row>
    <row r="330" spans="1:22" ht="14.25" x14ac:dyDescent="0.2">
      <c r="A330" s="19"/>
      <c r="B330" s="19"/>
      <c r="C330" s="19"/>
      <c r="D330" s="19" t="s">
        <v>503</v>
      </c>
      <c r="E330" s="20" t="s">
        <v>502</v>
      </c>
      <c r="F330" s="9">
        <f>Source!AU271</f>
        <v>10</v>
      </c>
      <c r="G330" s="22"/>
      <c r="H330" s="21"/>
      <c r="I330" s="9"/>
      <c r="J330" s="9"/>
      <c r="K330" s="22">
        <f>SUM(T323:T329)</f>
        <v>794.03</v>
      </c>
      <c r="L330" s="22"/>
    </row>
    <row r="331" spans="1:22" ht="14.25" x14ac:dyDescent="0.2">
      <c r="A331" s="19"/>
      <c r="B331" s="19"/>
      <c r="C331" s="19"/>
      <c r="D331" s="19" t="s">
        <v>509</v>
      </c>
      <c r="E331" s="20" t="s">
        <v>502</v>
      </c>
      <c r="F331" s="9">
        <f>108</f>
        <v>108</v>
      </c>
      <c r="G331" s="22"/>
      <c r="H331" s="21"/>
      <c r="I331" s="9"/>
      <c r="J331" s="9"/>
      <c r="K331" s="22">
        <f>SUM(V323:V330)</f>
        <v>0.12</v>
      </c>
      <c r="L331" s="22"/>
    </row>
    <row r="332" spans="1:22" ht="14.25" x14ac:dyDescent="0.2">
      <c r="A332" s="19"/>
      <c r="B332" s="19"/>
      <c r="C332" s="19"/>
      <c r="D332" s="19" t="s">
        <v>504</v>
      </c>
      <c r="E332" s="20" t="s">
        <v>505</v>
      </c>
      <c r="F332" s="9">
        <f>Source!AQ271</f>
        <v>104.44</v>
      </c>
      <c r="G332" s="22"/>
      <c r="H332" s="21" t="str">
        <f>Source!DI271</f>
        <v/>
      </c>
      <c r="I332" s="9">
        <f>Source!AV271</f>
        <v>1</v>
      </c>
      <c r="J332" s="9"/>
      <c r="K332" s="22"/>
      <c r="L332" s="22">
        <f>Source!U271</f>
        <v>15.665999999999999</v>
      </c>
    </row>
    <row r="333" spans="1:22" ht="15" x14ac:dyDescent="0.25">
      <c r="A333" s="25"/>
      <c r="B333" s="25"/>
      <c r="C333" s="25"/>
      <c r="D333" s="25"/>
      <c r="E333" s="25"/>
      <c r="F333" s="25"/>
      <c r="G333" s="25"/>
      <c r="H333" s="25"/>
      <c r="I333" s="25"/>
      <c r="J333" s="52">
        <f>K325+K326+K328+K329+K330+K331</f>
        <v>14418.430000000002</v>
      </c>
      <c r="K333" s="52"/>
      <c r="L333" s="26">
        <f>IF(Source!I271&lt;&gt;0, ROUND(J333/Source!I271, 2), 0)</f>
        <v>96122.87</v>
      </c>
      <c r="P333" s="24">
        <f>J333</f>
        <v>14418.430000000002</v>
      </c>
    </row>
    <row r="334" spans="1:22" ht="42.75" x14ac:dyDescent="0.2">
      <c r="A334" s="19">
        <v>30</v>
      </c>
      <c r="B334" s="19">
        <v>30</v>
      </c>
      <c r="C334" s="19" t="str">
        <f>Source!F272</f>
        <v>1.16-3201-2-2/1</v>
      </c>
      <c r="D334" s="19" t="str">
        <f>Source!G272</f>
        <v>Укрепление расшатавшихся санитарно-технических приборов - унитазы и биде</v>
      </c>
      <c r="E334" s="20" t="str">
        <f>Source!H272</f>
        <v>100 шт.</v>
      </c>
      <c r="F334" s="9">
        <f>Source!I272</f>
        <v>0.15</v>
      </c>
      <c r="G334" s="22"/>
      <c r="H334" s="21"/>
      <c r="I334" s="9"/>
      <c r="J334" s="9"/>
      <c r="K334" s="22"/>
      <c r="L334" s="22"/>
      <c r="Q334">
        <f>ROUND((Source!BZ272/100)*ROUND((Source!AF272*Source!AV272)*Source!I272, 2), 2)</f>
        <v>8085.6</v>
      </c>
      <c r="R334">
        <f>Source!X272</f>
        <v>8085.6</v>
      </c>
      <c r="S334">
        <f>ROUND((Source!CA272/100)*ROUND((Source!AF272*Source!AV272)*Source!I272, 2), 2)</f>
        <v>1155.0899999999999</v>
      </c>
      <c r="T334">
        <f>Source!Y272</f>
        <v>1155.0899999999999</v>
      </c>
      <c r="U334">
        <f>ROUND((175/100)*ROUND((Source!AE272*Source!AV272)*Source!I272, 2), 2)</f>
        <v>0.19</v>
      </c>
      <c r="V334">
        <f>ROUND((108/100)*ROUND(Source!CS272*Source!I272, 2), 2)</f>
        <v>0.12</v>
      </c>
    </row>
    <row r="335" spans="1:22" x14ac:dyDescent="0.2">
      <c r="D335" s="23" t="str">
        <f>"Объем: "&amp;Source!I272&amp;"=(15)*"&amp;"1/"&amp;"100"</f>
        <v>Объем: 0,15=(15)*1/100</v>
      </c>
    </row>
    <row r="336" spans="1:22" ht="14.25" x14ac:dyDescent="0.2">
      <c r="A336" s="19"/>
      <c r="B336" s="19"/>
      <c r="C336" s="19"/>
      <c r="D336" s="19" t="s">
        <v>500</v>
      </c>
      <c r="E336" s="20"/>
      <c r="F336" s="9"/>
      <c r="G336" s="22">
        <f>Source!AO272</f>
        <v>77005.72</v>
      </c>
      <c r="H336" s="21" t="str">
        <f>Source!DG272</f>
        <v/>
      </c>
      <c r="I336" s="9">
        <f>Source!AV272</f>
        <v>1</v>
      </c>
      <c r="J336" s="9">
        <f>IF(Source!BA272&lt;&gt; 0, Source!BA272, 1)</f>
        <v>1</v>
      </c>
      <c r="K336" s="22">
        <f>Source!S272</f>
        <v>11550.86</v>
      </c>
      <c r="L336" s="22"/>
    </row>
    <row r="337" spans="1:22" ht="14.25" x14ac:dyDescent="0.2">
      <c r="A337" s="19"/>
      <c r="B337" s="19"/>
      <c r="C337" s="19"/>
      <c r="D337" s="19" t="s">
        <v>506</v>
      </c>
      <c r="E337" s="20"/>
      <c r="F337" s="9"/>
      <c r="G337" s="22">
        <f>Source!AM272</f>
        <v>61.83</v>
      </c>
      <c r="H337" s="21" t="str">
        <f>Source!DE272</f>
        <v/>
      </c>
      <c r="I337" s="9">
        <f>Source!AV272</f>
        <v>1</v>
      </c>
      <c r="J337" s="9">
        <f>IF(Source!BB272&lt;&gt; 0, Source!BB272, 1)</f>
        <v>1</v>
      </c>
      <c r="K337" s="22">
        <f>Source!Q272</f>
        <v>9.27</v>
      </c>
      <c r="L337" s="22"/>
    </row>
    <row r="338" spans="1:22" ht="14.25" x14ac:dyDescent="0.2">
      <c r="A338" s="19"/>
      <c r="B338" s="19"/>
      <c r="C338" s="19"/>
      <c r="D338" s="19" t="s">
        <v>507</v>
      </c>
      <c r="E338" s="20"/>
      <c r="F338" s="9"/>
      <c r="G338" s="22">
        <f>Source!AN272</f>
        <v>0.7</v>
      </c>
      <c r="H338" s="21" t="str">
        <f>Source!DF272</f>
        <v/>
      </c>
      <c r="I338" s="9">
        <f>Source!AV272</f>
        <v>1</v>
      </c>
      <c r="J338" s="9">
        <f>IF(Source!BS272&lt;&gt; 0, Source!BS272, 1)</f>
        <v>1</v>
      </c>
      <c r="K338" s="27">
        <f>Source!R272</f>
        <v>0.11</v>
      </c>
      <c r="L338" s="22"/>
    </row>
    <row r="339" spans="1:22" ht="14.25" x14ac:dyDescent="0.2">
      <c r="A339" s="19"/>
      <c r="B339" s="19"/>
      <c r="C339" s="19"/>
      <c r="D339" s="19" t="s">
        <v>508</v>
      </c>
      <c r="E339" s="20"/>
      <c r="F339" s="9"/>
      <c r="G339" s="22">
        <f>Source!AL272</f>
        <v>776.55</v>
      </c>
      <c r="H339" s="21" t="str">
        <f>Source!DD272</f>
        <v/>
      </c>
      <c r="I339" s="9">
        <f>Source!AW272</f>
        <v>1</v>
      </c>
      <c r="J339" s="9">
        <f>IF(Source!BC272&lt;&gt; 0, Source!BC272, 1)</f>
        <v>1</v>
      </c>
      <c r="K339" s="22">
        <f>Source!P272</f>
        <v>116.48</v>
      </c>
      <c r="L339" s="22"/>
    </row>
    <row r="340" spans="1:22" ht="14.25" x14ac:dyDescent="0.2">
      <c r="A340" s="19"/>
      <c r="B340" s="19"/>
      <c r="C340" s="19"/>
      <c r="D340" s="19" t="s">
        <v>501</v>
      </c>
      <c r="E340" s="20" t="s">
        <v>502</v>
      </c>
      <c r="F340" s="9">
        <f>Source!AT272</f>
        <v>70</v>
      </c>
      <c r="G340" s="22"/>
      <c r="H340" s="21"/>
      <c r="I340" s="9"/>
      <c r="J340" s="9"/>
      <c r="K340" s="22">
        <f>SUM(R334:R339)</f>
        <v>8085.6</v>
      </c>
      <c r="L340" s="22"/>
    </row>
    <row r="341" spans="1:22" ht="14.25" x14ac:dyDescent="0.2">
      <c r="A341" s="19"/>
      <c r="B341" s="19"/>
      <c r="C341" s="19"/>
      <c r="D341" s="19" t="s">
        <v>503</v>
      </c>
      <c r="E341" s="20" t="s">
        <v>502</v>
      </c>
      <c r="F341" s="9">
        <f>Source!AU272</f>
        <v>10</v>
      </c>
      <c r="G341" s="22"/>
      <c r="H341" s="21"/>
      <c r="I341" s="9"/>
      <c r="J341" s="9"/>
      <c r="K341" s="22">
        <f>SUM(T334:T340)</f>
        <v>1155.0899999999999</v>
      </c>
      <c r="L341" s="22"/>
    </row>
    <row r="342" spans="1:22" ht="14.25" x14ac:dyDescent="0.2">
      <c r="A342" s="19"/>
      <c r="B342" s="19"/>
      <c r="C342" s="19"/>
      <c r="D342" s="19" t="s">
        <v>509</v>
      </c>
      <c r="E342" s="20" t="s">
        <v>502</v>
      </c>
      <c r="F342" s="9">
        <f>108</f>
        <v>108</v>
      </c>
      <c r="G342" s="22"/>
      <c r="H342" s="21"/>
      <c r="I342" s="9"/>
      <c r="J342" s="9"/>
      <c r="K342" s="22">
        <f>SUM(V334:V341)</f>
        <v>0.12</v>
      </c>
      <c r="L342" s="22"/>
    </row>
    <row r="343" spans="1:22" ht="14.25" x14ac:dyDescent="0.2">
      <c r="A343" s="19"/>
      <c r="B343" s="19"/>
      <c r="C343" s="19"/>
      <c r="D343" s="19" t="s">
        <v>504</v>
      </c>
      <c r="E343" s="20" t="s">
        <v>505</v>
      </c>
      <c r="F343" s="9">
        <f>Source!AQ272</f>
        <v>151.93</v>
      </c>
      <c r="G343" s="22"/>
      <c r="H343" s="21" t="str">
        <f>Source!DI272</f>
        <v/>
      </c>
      <c r="I343" s="9">
        <f>Source!AV272</f>
        <v>1</v>
      </c>
      <c r="J343" s="9"/>
      <c r="K343" s="22"/>
      <c r="L343" s="22">
        <f>Source!U272</f>
        <v>22.7895</v>
      </c>
    </row>
    <row r="344" spans="1:22" ht="15" x14ac:dyDescent="0.25">
      <c r="A344" s="25"/>
      <c r="B344" s="25"/>
      <c r="C344" s="25"/>
      <c r="D344" s="25"/>
      <c r="E344" s="25"/>
      <c r="F344" s="25"/>
      <c r="G344" s="25"/>
      <c r="H344" s="25"/>
      <c r="I344" s="25"/>
      <c r="J344" s="52">
        <f>K336+K337+K339+K340+K341+K342</f>
        <v>20917.419999999998</v>
      </c>
      <c r="K344" s="52"/>
      <c r="L344" s="26">
        <f>IF(Source!I272&lt;&gt;0, ROUND(J344/Source!I272, 2), 0)</f>
        <v>139449.47</v>
      </c>
      <c r="P344" s="24">
        <f>J344</f>
        <v>20917.419999999998</v>
      </c>
    </row>
    <row r="345" spans="1:22" ht="28.5" x14ac:dyDescent="0.2">
      <c r="A345" s="19">
        <v>31</v>
      </c>
      <c r="B345" s="19">
        <v>31</v>
      </c>
      <c r="C345" s="19" t="str">
        <f>Source!F273</f>
        <v>1.16-3201-1-1/1</v>
      </c>
      <c r="D345" s="19" t="str">
        <f>Source!G273</f>
        <v>Регулировка смывного бачка</v>
      </c>
      <c r="E345" s="20" t="str">
        <f>Source!H273</f>
        <v>100 приборов</v>
      </c>
      <c r="F345" s="9">
        <f>Source!I273</f>
        <v>0.15</v>
      </c>
      <c r="G345" s="22"/>
      <c r="H345" s="21"/>
      <c r="I345" s="9"/>
      <c r="J345" s="9"/>
      <c r="K345" s="22"/>
      <c r="L345" s="22"/>
      <c r="Q345">
        <f>ROUND((Source!BZ273/100)*ROUND((Source!AF273*Source!AV273)*Source!I273, 2), 2)</f>
        <v>1669.09</v>
      </c>
      <c r="R345">
        <f>Source!X273</f>
        <v>1669.09</v>
      </c>
      <c r="S345">
        <f>ROUND((Source!CA273/100)*ROUND((Source!AF273*Source!AV273)*Source!I273, 2), 2)</f>
        <v>238.44</v>
      </c>
      <c r="T345">
        <f>Source!Y273</f>
        <v>238.44</v>
      </c>
      <c r="U345">
        <f>ROUND((175/100)*ROUND((Source!AE273*Source!AV273)*Source!I273, 2), 2)</f>
        <v>0</v>
      </c>
      <c r="V345">
        <f>ROUND((108/100)*ROUND(Source!CS273*Source!I273, 2), 2)</f>
        <v>0</v>
      </c>
    </row>
    <row r="346" spans="1:22" x14ac:dyDescent="0.2">
      <c r="D346" s="23" t="str">
        <f>"Объем: "&amp;Source!I273&amp;"=15*"&amp;"1/"&amp;"100"</f>
        <v>Объем: 0,15=15*1/100</v>
      </c>
    </row>
    <row r="347" spans="1:22" ht="14.25" x14ac:dyDescent="0.2">
      <c r="A347" s="19"/>
      <c r="B347" s="19"/>
      <c r="C347" s="19"/>
      <c r="D347" s="19" t="s">
        <v>500</v>
      </c>
      <c r="E347" s="20"/>
      <c r="F347" s="9"/>
      <c r="G347" s="22">
        <f>Source!AO273</f>
        <v>15896.11</v>
      </c>
      <c r="H347" s="21" t="str">
        <f>Source!DG273</f>
        <v/>
      </c>
      <c r="I347" s="9">
        <f>Source!AV273</f>
        <v>1</v>
      </c>
      <c r="J347" s="9">
        <f>IF(Source!BA273&lt;&gt; 0, Source!BA273, 1)</f>
        <v>1</v>
      </c>
      <c r="K347" s="22">
        <f>Source!S273</f>
        <v>2384.42</v>
      </c>
      <c r="L347" s="22"/>
    </row>
    <row r="348" spans="1:22" ht="14.25" x14ac:dyDescent="0.2">
      <c r="A348" s="19"/>
      <c r="B348" s="19"/>
      <c r="C348" s="19"/>
      <c r="D348" s="19" t="s">
        <v>501</v>
      </c>
      <c r="E348" s="20" t="s">
        <v>502</v>
      </c>
      <c r="F348" s="9">
        <f>Source!AT273</f>
        <v>70</v>
      </c>
      <c r="G348" s="22"/>
      <c r="H348" s="21"/>
      <c r="I348" s="9"/>
      <c r="J348" s="9"/>
      <c r="K348" s="22">
        <f>SUM(R345:R347)</f>
        <v>1669.09</v>
      </c>
      <c r="L348" s="22"/>
    </row>
    <row r="349" spans="1:22" ht="14.25" x14ac:dyDescent="0.2">
      <c r="A349" s="19"/>
      <c r="B349" s="19"/>
      <c r="C349" s="19"/>
      <c r="D349" s="19" t="s">
        <v>503</v>
      </c>
      <c r="E349" s="20" t="s">
        <v>502</v>
      </c>
      <c r="F349" s="9">
        <f>Source!AU273</f>
        <v>10</v>
      </c>
      <c r="G349" s="22"/>
      <c r="H349" s="21"/>
      <c r="I349" s="9"/>
      <c r="J349" s="9"/>
      <c r="K349" s="22">
        <f>SUM(T345:T348)</f>
        <v>238.44</v>
      </c>
      <c r="L349" s="22"/>
    </row>
    <row r="350" spans="1:22" ht="14.25" x14ac:dyDescent="0.2">
      <c r="A350" s="19"/>
      <c r="B350" s="19"/>
      <c r="C350" s="19"/>
      <c r="D350" s="19" t="s">
        <v>504</v>
      </c>
      <c r="E350" s="20" t="s">
        <v>505</v>
      </c>
      <c r="F350" s="9">
        <f>Source!AQ273</f>
        <v>26.7</v>
      </c>
      <c r="G350" s="22"/>
      <c r="H350" s="21" t="str">
        <f>Source!DI273</f>
        <v/>
      </c>
      <c r="I350" s="9">
        <f>Source!AV273</f>
        <v>1</v>
      </c>
      <c r="J350" s="9"/>
      <c r="K350" s="22"/>
      <c r="L350" s="22">
        <f>Source!U273</f>
        <v>4.0049999999999999</v>
      </c>
    </row>
    <row r="351" spans="1:22" ht="15" x14ac:dyDescent="0.25">
      <c r="A351" s="25"/>
      <c r="B351" s="25"/>
      <c r="C351" s="25"/>
      <c r="D351" s="25"/>
      <c r="E351" s="25"/>
      <c r="F351" s="25"/>
      <c r="G351" s="25"/>
      <c r="H351" s="25"/>
      <c r="I351" s="25"/>
      <c r="J351" s="52">
        <f>K347+K348+K349</f>
        <v>4291.95</v>
      </c>
      <c r="K351" s="52"/>
      <c r="L351" s="26">
        <f>IF(Source!I273&lt;&gt;0, ROUND(J351/Source!I273, 2), 0)</f>
        <v>28613</v>
      </c>
      <c r="P351" s="24">
        <f>J351</f>
        <v>4291.95</v>
      </c>
    </row>
    <row r="352" spans="1:22" ht="42.75" x14ac:dyDescent="0.2">
      <c r="A352" s="19">
        <v>32</v>
      </c>
      <c r="B352" s="19">
        <v>32</v>
      </c>
      <c r="C352" s="19" t="str">
        <f>Source!F275</f>
        <v>1.23-2103-41-1/1</v>
      </c>
      <c r="D352" s="19" t="str">
        <f>Source!G275</f>
        <v>Техническое обслуживание регулирующего клапана / Смеситель для раковины</v>
      </c>
      <c r="E352" s="20" t="str">
        <f>Source!H275</f>
        <v>шт.</v>
      </c>
      <c r="F352" s="9">
        <f>Source!I275</f>
        <v>15</v>
      </c>
      <c r="G352" s="22"/>
      <c r="H352" s="21"/>
      <c r="I352" s="9"/>
      <c r="J352" s="9"/>
      <c r="K352" s="22"/>
      <c r="L352" s="22"/>
      <c r="Q352">
        <f>ROUND((Source!BZ275/100)*ROUND((Source!AF275*Source!AV275)*Source!I275, 2), 2)</f>
        <v>2184</v>
      </c>
      <c r="R352">
        <f>Source!X275</f>
        <v>2184</v>
      </c>
      <c r="S352">
        <f>ROUND((Source!CA275/100)*ROUND((Source!AF275*Source!AV275)*Source!I275, 2), 2)</f>
        <v>312</v>
      </c>
      <c r="T352">
        <f>Source!Y275</f>
        <v>312</v>
      </c>
      <c r="U352">
        <f>ROUND((175/100)*ROUND((Source!AE275*Source!AV275)*Source!I275, 2), 2)</f>
        <v>1301.21</v>
      </c>
      <c r="V352">
        <f>ROUND((108/100)*ROUND(Source!CS275*Source!I275, 2), 2)</f>
        <v>803.03</v>
      </c>
    </row>
    <row r="353" spans="1:22" x14ac:dyDescent="0.2">
      <c r="D353" s="23" t="str">
        <f>"Объем: "&amp;Source!I275&amp;"=(15)*"&amp;"1"</f>
        <v>Объем: 15=(15)*1</v>
      </c>
    </row>
    <row r="354" spans="1:22" ht="14.25" x14ac:dyDescent="0.2">
      <c r="A354" s="19"/>
      <c r="B354" s="19"/>
      <c r="C354" s="19"/>
      <c r="D354" s="19" t="s">
        <v>500</v>
      </c>
      <c r="E354" s="20"/>
      <c r="F354" s="9"/>
      <c r="G354" s="22">
        <f>Source!AO275</f>
        <v>208</v>
      </c>
      <c r="H354" s="21" t="str">
        <f>Source!DG275</f>
        <v/>
      </c>
      <c r="I354" s="9">
        <f>Source!AV275</f>
        <v>1</v>
      </c>
      <c r="J354" s="9">
        <f>IF(Source!BA275&lt;&gt; 0, Source!BA275, 1)</f>
        <v>1</v>
      </c>
      <c r="K354" s="22">
        <f>Source!S275</f>
        <v>3120</v>
      </c>
      <c r="L354" s="22"/>
    </row>
    <row r="355" spans="1:22" ht="14.25" x14ac:dyDescent="0.2">
      <c r="A355" s="19"/>
      <c r="B355" s="19"/>
      <c r="C355" s="19"/>
      <c r="D355" s="19" t="s">
        <v>506</v>
      </c>
      <c r="E355" s="20"/>
      <c r="F355" s="9"/>
      <c r="G355" s="22">
        <f>Source!AM275</f>
        <v>78.180000000000007</v>
      </c>
      <c r="H355" s="21" t="str">
        <f>Source!DE275</f>
        <v/>
      </c>
      <c r="I355" s="9">
        <f>Source!AV275</f>
        <v>1</v>
      </c>
      <c r="J355" s="9">
        <f>IF(Source!BB275&lt;&gt; 0, Source!BB275, 1)</f>
        <v>1</v>
      </c>
      <c r="K355" s="22">
        <f>Source!Q275</f>
        <v>1172.7</v>
      </c>
      <c r="L355" s="22"/>
    </row>
    <row r="356" spans="1:22" ht="14.25" x14ac:dyDescent="0.2">
      <c r="A356" s="19"/>
      <c r="B356" s="19"/>
      <c r="C356" s="19"/>
      <c r="D356" s="19" t="s">
        <v>507</v>
      </c>
      <c r="E356" s="20"/>
      <c r="F356" s="9"/>
      <c r="G356" s="22">
        <f>Source!AN275</f>
        <v>49.57</v>
      </c>
      <c r="H356" s="21" t="str">
        <f>Source!DF275</f>
        <v/>
      </c>
      <c r="I356" s="9">
        <f>Source!AV275</f>
        <v>1</v>
      </c>
      <c r="J356" s="9">
        <f>IF(Source!BS275&lt;&gt; 0, Source!BS275, 1)</f>
        <v>1</v>
      </c>
      <c r="K356" s="27">
        <f>Source!R275</f>
        <v>743.55</v>
      </c>
      <c r="L356" s="22"/>
    </row>
    <row r="357" spans="1:22" ht="14.25" x14ac:dyDescent="0.2">
      <c r="A357" s="19"/>
      <c r="B357" s="19"/>
      <c r="C357" s="19"/>
      <c r="D357" s="19" t="s">
        <v>501</v>
      </c>
      <c r="E357" s="20" t="s">
        <v>502</v>
      </c>
      <c r="F357" s="9">
        <f>Source!AT275</f>
        <v>70</v>
      </c>
      <c r="G357" s="22"/>
      <c r="H357" s="21"/>
      <c r="I357" s="9"/>
      <c r="J357" s="9"/>
      <c r="K357" s="22">
        <f>SUM(R352:R356)</f>
        <v>2184</v>
      </c>
      <c r="L357" s="22"/>
    </row>
    <row r="358" spans="1:22" ht="14.25" x14ac:dyDescent="0.2">
      <c r="A358" s="19"/>
      <c r="B358" s="19"/>
      <c r="C358" s="19"/>
      <c r="D358" s="19" t="s">
        <v>503</v>
      </c>
      <c r="E358" s="20" t="s">
        <v>502</v>
      </c>
      <c r="F358" s="9">
        <f>Source!AU275</f>
        <v>10</v>
      </c>
      <c r="G358" s="22"/>
      <c r="H358" s="21"/>
      <c r="I358" s="9"/>
      <c r="J358" s="9"/>
      <c r="K358" s="22">
        <f>SUM(T352:T357)</f>
        <v>312</v>
      </c>
      <c r="L358" s="22"/>
    </row>
    <row r="359" spans="1:22" ht="14.25" x14ac:dyDescent="0.2">
      <c r="A359" s="19"/>
      <c r="B359" s="19"/>
      <c r="C359" s="19"/>
      <c r="D359" s="19" t="s">
        <v>509</v>
      </c>
      <c r="E359" s="20" t="s">
        <v>502</v>
      </c>
      <c r="F359" s="9">
        <f>108</f>
        <v>108</v>
      </c>
      <c r="G359" s="22"/>
      <c r="H359" s="21"/>
      <c r="I359" s="9"/>
      <c r="J359" s="9"/>
      <c r="K359" s="22">
        <f>SUM(V352:V358)</f>
        <v>803.03</v>
      </c>
      <c r="L359" s="22"/>
    </row>
    <row r="360" spans="1:22" ht="14.25" x14ac:dyDescent="0.2">
      <c r="A360" s="19"/>
      <c r="B360" s="19"/>
      <c r="C360" s="19"/>
      <c r="D360" s="19" t="s">
        <v>504</v>
      </c>
      <c r="E360" s="20" t="s">
        <v>505</v>
      </c>
      <c r="F360" s="9">
        <f>Source!AQ275</f>
        <v>0.37</v>
      </c>
      <c r="G360" s="22"/>
      <c r="H360" s="21" t="str">
        <f>Source!DI275</f>
        <v/>
      </c>
      <c r="I360" s="9">
        <f>Source!AV275</f>
        <v>1</v>
      </c>
      <c r="J360" s="9"/>
      <c r="K360" s="22"/>
      <c r="L360" s="22">
        <f>Source!U275</f>
        <v>5.55</v>
      </c>
    </row>
    <row r="361" spans="1:22" ht="15" x14ac:dyDescent="0.25">
      <c r="A361" s="25"/>
      <c r="B361" s="25"/>
      <c r="C361" s="25"/>
      <c r="D361" s="25"/>
      <c r="E361" s="25"/>
      <c r="F361" s="25"/>
      <c r="G361" s="25"/>
      <c r="H361" s="25"/>
      <c r="I361" s="25"/>
      <c r="J361" s="52">
        <f>K354+K355+K357+K358+K359</f>
        <v>7591.73</v>
      </c>
      <c r="K361" s="52"/>
      <c r="L361" s="26">
        <f>IF(Source!I275&lt;&gt;0, ROUND(J361/Source!I275, 2), 0)</f>
        <v>506.12</v>
      </c>
      <c r="P361" s="24">
        <f>J361</f>
        <v>7591.73</v>
      </c>
    </row>
    <row r="362" spans="1:22" ht="28.5" x14ac:dyDescent="0.2">
      <c r="A362" s="19">
        <v>33</v>
      </c>
      <c r="B362" s="19">
        <v>33</v>
      </c>
      <c r="C362" s="19" t="str">
        <f>Source!F276</f>
        <v>1.16-2203-1-1/1</v>
      </c>
      <c r="D362" s="19" t="str">
        <f>Source!G276</f>
        <v>Прочистка сифонов</v>
      </c>
      <c r="E362" s="20" t="str">
        <f>Source!H276</f>
        <v>100 шт.</v>
      </c>
      <c r="F362" s="9">
        <f>Source!I276</f>
        <v>0.15</v>
      </c>
      <c r="G362" s="22"/>
      <c r="H362" s="21"/>
      <c r="I362" s="9"/>
      <c r="J362" s="9"/>
      <c r="K362" s="22"/>
      <c r="L362" s="22"/>
      <c r="Q362">
        <f>ROUND((Source!BZ276/100)*ROUND((Source!AF276*Source!AV276)*Source!I276, 2), 2)</f>
        <v>5964.81</v>
      </c>
      <c r="R362">
        <f>Source!X276</f>
        <v>5964.81</v>
      </c>
      <c r="S362">
        <f>ROUND((Source!CA276/100)*ROUND((Source!AF276*Source!AV276)*Source!I276, 2), 2)</f>
        <v>852.12</v>
      </c>
      <c r="T362">
        <f>Source!Y276</f>
        <v>852.12</v>
      </c>
      <c r="U362">
        <f>ROUND((175/100)*ROUND((Source!AE276*Source!AV276)*Source!I276, 2), 2)</f>
        <v>0</v>
      </c>
      <c r="V362">
        <f>ROUND((108/100)*ROUND(Source!CS276*Source!I276, 2), 2)</f>
        <v>0</v>
      </c>
    </row>
    <row r="363" spans="1:22" x14ac:dyDescent="0.2">
      <c r="D363" s="23" t="str">
        <f>"Объем: "&amp;Source!I276&amp;"=(15)*"&amp;"1/"&amp;"100"</f>
        <v>Объем: 0,15=(15)*1/100</v>
      </c>
    </row>
    <row r="364" spans="1:22" ht="14.25" x14ac:dyDescent="0.2">
      <c r="A364" s="19"/>
      <c r="B364" s="19"/>
      <c r="C364" s="19"/>
      <c r="D364" s="19" t="s">
        <v>500</v>
      </c>
      <c r="E364" s="20"/>
      <c r="F364" s="9"/>
      <c r="G364" s="22">
        <f>Source!AO276</f>
        <v>14201.94</v>
      </c>
      <c r="H364" s="21" t="str">
        <f>Source!DG276</f>
        <v>)*4</v>
      </c>
      <c r="I364" s="9">
        <f>Source!AV276</f>
        <v>1</v>
      </c>
      <c r="J364" s="9">
        <f>IF(Source!BA276&lt;&gt; 0, Source!BA276, 1)</f>
        <v>1</v>
      </c>
      <c r="K364" s="22">
        <f>Source!S276</f>
        <v>8521.16</v>
      </c>
      <c r="L364" s="22"/>
    </row>
    <row r="365" spans="1:22" ht="14.25" x14ac:dyDescent="0.2">
      <c r="A365" s="19"/>
      <c r="B365" s="19"/>
      <c r="C365" s="19"/>
      <c r="D365" s="19" t="s">
        <v>508</v>
      </c>
      <c r="E365" s="20"/>
      <c r="F365" s="9"/>
      <c r="G365" s="22">
        <f>Source!AL276</f>
        <v>243.57</v>
      </c>
      <c r="H365" s="21" t="str">
        <f>Source!DD276</f>
        <v>)*4</v>
      </c>
      <c r="I365" s="9">
        <f>Source!AW276</f>
        <v>1</v>
      </c>
      <c r="J365" s="9">
        <f>IF(Source!BC276&lt;&gt; 0, Source!BC276, 1)</f>
        <v>1</v>
      </c>
      <c r="K365" s="22">
        <f>Source!P276</f>
        <v>146.13999999999999</v>
      </c>
      <c r="L365" s="22"/>
    </row>
    <row r="366" spans="1:22" ht="14.25" x14ac:dyDescent="0.2">
      <c r="A366" s="19"/>
      <c r="B366" s="19"/>
      <c r="C366" s="19"/>
      <c r="D366" s="19" t="s">
        <v>501</v>
      </c>
      <c r="E366" s="20" t="s">
        <v>502</v>
      </c>
      <c r="F366" s="9">
        <f>Source!AT276</f>
        <v>70</v>
      </c>
      <c r="G366" s="22"/>
      <c r="H366" s="21"/>
      <c r="I366" s="9"/>
      <c r="J366" s="9"/>
      <c r="K366" s="22">
        <f>SUM(R362:R365)</f>
        <v>5964.81</v>
      </c>
      <c r="L366" s="22"/>
    </row>
    <row r="367" spans="1:22" ht="14.25" x14ac:dyDescent="0.2">
      <c r="A367" s="19"/>
      <c r="B367" s="19"/>
      <c r="C367" s="19"/>
      <c r="D367" s="19" t="s">
        <v>503</v>
      </c>
      <c r="E367" s="20" t="s">
        <v>502</v>
      </c>
      <c r="F367" s="9">
        <f>Source!AU276</f>
        <v>10</v>
      </c>
      <c r="G367" s="22"/>
      <c r="H367" s="21"/>
      <c r="I367" s="9"/>
      <c r="J367" s="9"/>
      <c r="K367" s="22">
        <f>SUM(T362:T366)</f>
        <v>852.12</v>
      </c>
      <c r="L367" s="22"/>
    </row>
    <row r="368" spans="1:22" ht="14.25" x14ac:dyDescent="0.2">
      <c r="A368" s="19"/>
      <c r="B368" s="19"/>
      <c r="C368" s="19"/>
      <c r="D368" s="19" t="s">
        <v>504</v>
      </c>
      <c r="E368" s="20" t="s">
        <v>505</v>
      </c>
      <c r="F368" s="9">
        <f>Source!AQ276</f>
        <v>28.02</v>
      </c>
      <c r="G368" s="22"/>
      <c r="H368" s="21" t="str">
        <f>Source!DI276</f>
        <v>)*4</v>
      </c>
      <c r="I368" s="9">
        <f>Source!AV276</f>
        <v>1</v>
      </c>
      <c r="J368" s="9"/>
      <c r="K368" s="22"/>
      <c r="L368" s="22">
        <f>Source!U276</f>
        <v>16.811999999999998</v>
      </c>
    </row>
    <row r="369" spans="1:22" ht="15" x14ac:dyDescent="0.25">
      <c r="A369" s="25"/>
      <c r="B369" s="25"/>
      <c r="C369" s="25"/>
      <c r="D369" s="25"/>
      <c r="E369" s="25"/>
      <c r="F369" s="25"/>
      <c r="G369" s="25"/>
      <c r="H369" s="25"/>
      <c r="I369" s="25"/>
      <c r="J369" s="52">
        <f>K364+K365+K366+K367</f>
        <v>15484.230000000001</v>
      </c>
      <c r="K369" s="52"/>
      <c r="L369" s="26">
        <f>IF(Source!I276&lt;&gt;0, ROUND(J369/Source!I276, 2), 0)</f>
        <v>103228.2</v>
      </c>
      <c r="P369" s="24">
        <f>J369</f>
        <v>15484.230000000001</v>
      </c>
    </row>
    <row r="370" spans="1:22" ht="42.75" x14ac:dyDescent="0.2">
      <c r="A370" s="19">
        <v>34</v>
      </c>
      <c r="B370" s="19">
        <v>34</v>
      </c>
      <c r="C370" s="19" t="str">
        <f>Source!F277</f>
        <v>1.23-2103-41-1/1</v>
      </c>
      <c r="D370" s="19" t="str">
        <f>Source!G277</f>
        <v>Техническое обслуживание регулирующего клапана / Смеситель для раковины / для зоны кухни</v>
      </c>
      <c r="E370" s="20" t="str">
        <f>Source!H277</f>
        <v>шт.</v>
      </c>
      <c r="F370" s="9">
        <f>Source!I277</f>
        <v>15</v>
      </c>
      <c r="G370" s="22"/>
      <c r="H370" s="21"/>
      <c r="I370" s="9"/>
      <c r="J370" s="9"/>
      <c r="K370" s="22"/>
      <c r="L370" s="22"/>
      <c r="Q370">
        <f>ROUND((Source!BZ277/100)*ROUND((Source!AF277*Source!AV277)*Source!I277, 2), 2)</f>
        <v>2184</v>
      </c>
      <c r="R370">
        <f>Source!X277</f>
        <v>2184</v>
      </c>
      <c r="S370">
        <f>ROUND((Source!CA277/100)*ROUND((Source!AF277*Source!AV277)*Source!I277, 2), 2)</f>
        <v>312</v>
      </c>
      <c r="T370">
        <f>Source!Y277</f>
        <v>312</v>
      </c>
      <c r="U370">
        <f>ROUND((175/100)*ROUND((Source!AE277*Source!AV277)*Source!I277, 2), 2)</f>
        <v>1301.21</v>
      </c>
      <c r="V370">
        <f>ROUND((108/100)*ROUND(Source!CS277*Source!I277, 2), 2)</f>
        <v>803.03</v>
      </c>
    </row>
    <row r="371" spans="1:22" x14ac:dyDescent="0.2">
      <c r="D371" s="23" t="str">
        <f>"Объем: "&amp;Source!I277&amp;"=(15)*"&amp;"1"</f>
        <v>Объем: 15=(15)*1</v>
      </c>
    </row>
    <row r="372" spans="1:22" ht="14.25" x14ac:dyDescent="0.2">
      <c r="A372" s="19"/>
      <c r="B372" s="19"/>
      <c r="C372" s="19"/>
      <c r="D372" s="19" t="s">
        <v>500</v>
      </c>
      <c r="E372" s="20"/>
      <c r="F372" s="9"/>
      <c r="G372" s="22">
        <f>Source!AO277</f>
        <v>208</v>
      </c>
      <c r="H372" s="21" t="str">
        <f>Source!DG277</f>
        <v/>
      </c>
      <c r="I372" s="9">
        <f>Source!AV277</f>
        <v>1</v>
      </c>
      <c r="J372" s="9">
        <f>IF(Source!BA277&lt;&gt; 0, Source!BA277, 1)</f>
        <v>1</v>
      </c>
      <c r="K372" s="22">
        <f>Source!S277</f>
        <v>3120</v>
      </c>
      <c r="L372" s="22"/>
    </row>
    <row r="373" spans="1:22" ht="14.25" x14ac:dyDescent="0.2">
      <c r="A373" s="19"/>
      <c r="B373" s="19"/>
      <c r="C373" s="19"/>
      <c r="D373" s="19" t="s">
        <v>506</v>
      </c>
      <c r="E373" s="20"/>
      <c r="F373" s="9"/>
      <c r="G373" s="22">
        <f>Source!AM277</f>
        <v>78.180000000000007</v>
      </c>
      <c r="H373" s="21" t="str">
        <f>Source!DE277</f>
        <v/>
      </c>
      <c r="I373" s="9">
        <f>Source!AV277</f>
        <v>1</v>
      </c>
      <c r="J373" s="9">
        <f>IF(Source!BB277&lt;&gt; 0, Source!BB277, 1)</f>
        <v>1</v>
      </c>
      <c r="K373" s="22">
        <f>Source!Q277</f>
        <v>1172.7</v>
      </c>
      <c r="L373" s="22"/>
    </row>
    <row r="374" spans="1:22" ht="14.25" x14ac:dyDescent="0.2">
      <c r="A374" s="19"/>
      <c r="B374" s="19"/>
      <c r="C374" s="19"/>
      <c r="D374" s="19" t="s">
        <v>507</v>
      </c>
      <c r="E374" s="20"/>
      <c r="F374" s="9"/>
      <c r="G374" s="22">
        <f>Source!AN277</f>
        <v>49.57</v>
      </c>
      <c r="H374" s="21" t="str">
        <f>Source!DF277</f>
        <v/>
      </c>
      <c r="I374" s="9">
        <f>Source!AV277</f>
        <v>1</v>
      </c>
      <c r="J374" s="9">
        <f>IF(Source!BS277&lt;&gt; 0, Source!BS277, 1)</f>
        <v>1</v>
      </c>
      <c r="K374" s="27">
        <f>Source!R277</f>
        <v>743.55</v>
      </c>
      <c r="L374" s="22"/>
    </row>
    <row r="375" spans="1:22" ht="14.25" x14ac:dyDescent="0.2">
      <c r="A375" s="19"/>
      <c r="B375" s="19"/>
      <c r="C375" s="19"/>
      <c r="D375" s="19" t="s">
        <v>501</v>
      </c>
      <c r="E375" s="20" t="s">
        <v>502</v>
      </c>
      <c r="F375" s="9">
        <f>Source!AT277</f>
        <v>70</v>
      </c>
      <c r="G375" s="22"/>
      <c r="H375" s="21"/>
      <c r="I375" s="9"/>
      <c r="J375" s="9"/>
      <c r="K375" s="22">
        <f>SUM(R370:R374)</f>
        <v>2184</v>
      </c>
      <c r="L375" s="22"/>
    </row>
    <row r="376" spans="1:22" ht="14.25" x14ac:dyDescent="0.2">
      <c r="A376" s="19"/>
      <c r="B376" s="19"/>
      <c r="C376" s="19"/>
      <c r="D376" s="19" t="s">
        <v>503</v>
      </c>
      <c r="E376" s="20" t="s">
        <v>502</v>
      </c>
      <c r="F376" s="9">
        <f>Source!AU277</f>
        <v>10</v>
      </c>
      <c r="G376" s="22"/>
      <c r="H376" s="21"/>
      <c r="I376" s="9"/>
      <c r="J376" s="9"/>
      <c r="K376" s="22">
        <f>SUM(T370:T375)</f>
        <v>312</v>
      </c>
      <c r="L376" s="22"/>
    </row>
    <row r="377" spans="1:22" ht="14.25" x14ac:dyDescent="0.2">
      <c r="A377" s="19"/>
      <c r="B377" s="19"/>
      <c r="C377" s="19"/>
      <c r="D377" s="19" t="s">
        <v>509</v>
      </c>
      <c r="E377" s="20" t="s">
        <v>502</v>
      </c>
      <c r="F377" s="9">
        <f>108</f>
        <v>108</v>
      </c>
      <c r="G377" s="22"/>
      <c r="H377" s="21"/>
      <c r="I377" s="9"/>
      <c r="J377" s="9"/>
      <c r="K377" s="22">
        <f>SUM(V370:V376)</f>
        <v>803.03</v>
      </c>
      <c r="L377" s="22"/>
    </row>
    <row r="378" spans="1:22" ht="14.25" x14ac:dyDescent="0.2">
      <c r="A378" s="19"/>
      <c r="B378" s="19"/>
      <c r="C378" s="19"/>
      <c r="D378" s="19" t="s">
        <v>504</v>
      </c>
      <c r="E378" s="20" t="s">
        <v>505</v>
      </c>
      <c r="F378" s="9">
        <f>Source!AQ277</f>
        <v>0.37</v>
      </c>
      <c r="G378" s="22"/>
      <c r="H378" s="21" t="str">
        <f>Source!DI277</f>
        <v/>
      </c>
      <c r="I378" s="9">
        <f>Source!AV277</f>
        <v>1</v>
      </c>
      <c r="J378" s="9"/>
      <c r="K378" s="22"/>
      <c r="L378" s="22">
        <f>Source!U277</f>
        <v>5.55</v>
      </c>
    </row>
    <row r="379" spans="1:22" ht="15" x14ac:dyDescent="0.25">
      <c r="A379" s="25"/>
      <c r="B379" s="25"/>
      <c r="C379" s="25"/>
      <c r="D379" s="25"/>
      <c r="E379" s="25"/>
      <c r="F379" s="25"/>
      <c r="G379" s="25"/>
      <c r="H379" s="25"/>
      <c r="I379" s="25"/>
      <c r="J379" s="52">
        <f>K372+K373+K375+K376+K377</f>
        <v>7591.73</v>
      </c>
      <c r="K379" s="52"/>
      <c r="L379" s="26">
        <f>IF(Source!I277&lt;&gt;0, ROUND(J379/Source!I277, 2), 0)</f>
        <v>506.12</v>
      </c>
      <c r="P379" s="24">
        <f>J379</f>
        <v>7591.73</v>
      </c>
    </row>
    <row r="380" spans="1:22" ht="28.5" x14ac:dyDescent="0.2">
      <c r="A380" s="19">
        <v>35</v>
      </c>
      <c r="B380" s="19">
        <v>35</v>
      </c>
      <c r="C380" s="19" t="str">
        <f>Source!F278</f>
        <v>1.16-2203-1-1/1</v>
      </c>
      <c r="D380" s="19" t="str">
        <f>Source!G278</f>
        <v>Прочистка сифонов / для зоны кухни</v>
      </c>
      <c r="E380" s="20" t="str">
        <f>Source!H278</f>
        <v>100 шт.</v>
      </c>
      <c r="F380" s="9">
        <f>Source!I278</f>
        <v>0.15</v>
      </c>
      <c r="G380" s="22"/>
      <c r="H380" s="21"/>
      <c r="I380" s="9"/>
      <c r="J380" s="9"/>
      <c r="K380" s="22"/>
      <c r="L380" s="22"/>
      <c r="Q380">
        <f>ROUND((Source!BZ278/100)*ROUND((Source!AF278*Source!AV278)*Source!I278, 2), 2)</f>
        <v>5964.81</v>
      </c>
      <c r="R380">
        <f>Source!X278</f>
        <v>5964.81</v>
      </c>
      <c r="S380">
        <f>ROUND((Source!CA278/100)*ROUND((Source!AF278*Source!AV278)*Source!I278, 2), 2)</f>
        <v>852.12</v>
      </c>
      <c r="T380">
        <f>Source!Y278</f>
        <v>852.12</v>
      </c>
      <c r="U380">
        <f>ROUND((175/100)*ROUND((Source!AE278*Source!AV278)*Source!I278, 2), 2)</f>
        <v>0</v>
      </c>
      <c r="V380">
        <f>ROUND((108/100)*ROUND(Source!CS278*Source!I278, 2), 2)</f>
        <v>0</v>
      </c>
    </row>
    <row r="381" spans="1:22" x14ac:dyDescent="0.2">
      <c r="D381" s="23" t="str">
        <f>"Объем: "&amp;Source!I278&amp;"=(15)*"&amp;"1/"&amp;"100"</f>
        <v>Объем: 0,15=(15)*1/100</v>
      </c>
    </row>
    <row r="382" spans="1:22" ht="14.25" x14ac:dyDescent="0.2">
      <c r="A382" s="19"/>
      <c r="B382" s="19"/>
      <c r="C382" s="19"/>
      <c r="D382" s="19" t="s">
        <v>500</v>
      </c>
      <c r="E382" s="20"/>
      <c r="F382" s="9"/>
      <c r="G382" s="22">
        <f>Source!AO278</f>
        <v>14201.94</v>
      </c>
      <c r="H382" s="21" t="str">
        <f>Source!DG278</f>
        <v>)*4</v>
      </c>
      <c r="I382" s="9">
        <f>Source!AV278</f>
        <v>1</v>
      </c>
      <c r="J382" s="9">
        <f>IF(Source!BA278&lt;&gt; 0, Source!BA278, 1)</f>
        <v>1</v>
      </c>
      <c r="K382" s="22">
        <f>Source!S278</f>
        <v>8521.16</v>
      </c>
      <c r="L382" s="22"/>
    </row>
    <row r="383" spans="1:22" ht="14.25" x14ac:dyDescent="0.2">
      <c r="A383" s="19"/>
      <c r="B383" s="19"/>
      <c r="C383" s="19"/>
      <c r="D383" s="19" t="s">
        <v>508</v>
      </c>
      <c r="E383" s="20"/>
      <c r="F383" s="9"/>
      <c r="G383" s="22">
        <f>Source!AL278</f>
        <v>243.57</v>
      </c>
      <c r="H383" s="21" t="str">
        <f>Source!DD278</f>
        <v>)*4</v>
      </c>
      <c r="I383" s="9">
        <f>Source!AW278</f>
        <v>1</v>
      </c>
      <c r="J383" s="9">
        <f>IF(Source!BC278&lt;&gt; 0, Source!BC278, 1)</f>
        <v>1</v>
      </c>
      <c r="K383" s="22">
        <f>Source!P278</f>
        <v>146.13999999999999</v>
      </c>
      <c r="L383" s="22"/>
    </row>
    <row r="384" spans="1:22" ht="14.25" x14ac:dyDescent="0.2">
      <c r="A384" s="19"/>
      <c r="B384" s="19"/>
      <c r="C384" s="19"/>
      <c r="D384" s="19" t="s">
        <v>501</v>
      </c>
      <c r="E384" s="20" t="s">
        <v>502</v>
      </c>
      <c r="F384" s="9">
        <f>Source!AT278</f>
        <v>70</v>
      </c>
      <c r="G384" s="22"/>
      <c r="H384" s="21"/>
      <c r="I384" s="9"/>
      <c r="J384" s="9"/>
      <c r="K384" s="22">
        <f>SUM(R380:R383)</f>
        <v>5964.81</v>
      </c>
      <c r="L384" s="22"/>
    </row>
    <row r="385" spans="1:22" ht="14.25" x14ac:dyDescent="0.2">
      <c r="A385" s="19"/>
      <c r="B385" s="19"/>
      <c r="C385" s="19"/>
      <c r="D385" s="19" t="s">
        <v>503</v>
      </c>
      <c r="E385" s="20" t="s">
        <v>502</v>
      </c>
      <c r="F385" s="9">
        <f>Source!AU278</f>
        <v>10</v>
      </c>
      <c r="G385" s="22"/>
      <c r="H385" s="21"/>
      <c r="I385" s="9"/>
      <c r="J385" s="9"/>
      <c r="K385" s="22">
        <f>SUM(T380:T384)</f>
        <v>852.12</v>
      </c>
      <c r="L385" s="22"/>
    </row>
    <row r="386" spans="1:22" ht="14.25" x14ac:dyDescent="0.2">
      <c r="A386" s="19"/>
      <c r="B386" s="19"/>
      <c r="C386" s="19"/>
      <c r="D386" s="19" t="s">
        <v>504</v>
      </c>
      <c r="E386" s="20" t="s">
        <v>505</v>
      </c>
      <c r="F386" s="9">
        <f>Source!AQ278</f>
        <v>28.02</v>
      </c>
      <c r="G386" s="22"/>
      <c r="H386" s="21" t="str">
        <f>Source!DI278</f>
        <v>)*4</v>
      </c>
      <c r="I386" s="9">
        <f>Source!AV278</f>
        <v>1</v>
      </c>
      <c r="J386" s="9"/>
      <c r="K386" s="22"/>
      <c r="L386" s="22">
        <f>Source!U278</f>
        <v>16.811999999999998</v>
      </c>
    </row>
    <row r="387" spans="1:22" ht="15" x14ac:dyDescent="0.25">
      <c r="A387" s="25"/>
      <c r="B387" s="25"/>
      <c r="C387" s="25"/>
      <c r="D387" s="25"/>
      <c r="E387" s="25"/>
      <c r="F387" s="25"/>
      <c r="G387" s="25"/>
      <c r="H387" s="25"/>
      <c r="I387" s="25"/>
      <c r="J387" s="52">
        <f>K382+K383+K384+K385</f>
        <v>15484.230000000001</v>
      </c>
      <c r="K387" s="52"/>
      <c r="L387" s="26">
        <f>IF(Source!I278&lt;&gt;0, ROUND(J387/Source!I278, 2), 0)</f>
        <v>103228.2</v>
      </c>
      <c r="P387" s="24">
        <f>J387</f>
        <v>15484.230000000001</v>
      </c>
    </row>
    <row r="388" spans="1:22" ht="57" x14ac:dyDescent="0.2">
      <c r="A388" s="19">
        <v>36</v>
      </c>
      <c r="B388" s="19">
        <v>36</v>
      </c>
      <c r="C388" s="19" t="str">
        <f>Source!F280</f>
        <v>1.23-2103-41-1/1</v>
      </c>
      <c r="D388" s="19" t="str">
        <f>Source!G280</f>
        <v>Техническое обслуживание регулирующего клапана / Смеситель душевой с лейкой с тропическим душем</v>
      </c>
      <c r="E388" s="20" t="str">
        <f>Source!H280</f>
        <v>шт.</v>
      </c>
      <c r="F388" s="9">
        <f>Source!I280</f>
        <v>15</v>
      </c>
      <c r="G388" s="22"/>
      <c r="H388" s="21"/>
      <c r="I388" s="9"/>
      <c r="J388" s="9"/>
      <c r="K388" s="22"/>
      <c r="L388" s="22"/>
      <c r="Q388">
        <f>ROUND((Source!BZ280/100)*ROUND((Source!AF280*Source!AV280)*Source!I280, 2), 2)</f>
        <v>2184</v>
      </c>
      <c r="R388">
        <f>Source!X280</f>
        <v>2184</v>
      </c>
      <c r="S388">
        <f>ROUND((Source!CA280/100)*ROUND((Source!AF280*Source!AV280)*Source!I280, 2), 2)</f>
        <v>312</v>
      </c>
      <c r="T388">
        <f>Source!Y280</f>
        <v>312</v>
      </c>
      <c r="U388">
        <f>ROUND((175/100)*ROUND((Source!AE280*Source!AV280)*Source!I280, 2), 2)</f>
        <v>1301.21</v>
      </c>
      <c r="V388">
        <f>ROUND((108/100)*ROUND(Source!CS280*Source!I280, 2), 2)</f>
        <v>803.03</v>
      </c>
    </row>
    <row r="389" spans="1:22" x14ac:dyDescent="0.2">
      <c r="D389" s="23" t="str">
        <f>"Объем: "&amp;Source!I280&amp;"=(1)*"&amp;"15"</f>
        <v>Объем: 15=(1)*15</v>
      </c>
    </row>
    <row r="390" spans="1:22" ht="14.25" x14ac:dyDescent="0.2">
      <c r="A390" s="19"/>
      <c r="B390" s="19"/>
      <c r="C390" s="19"/>
      <c r="D390" s="19" t="s">
        <v>500</v>
      </c>
      <c r="E390" s="20"/>
      <c r="F390" s="9"/>
      <c r="G390" s="22">
        <f>Source!AO280</f>
        <v>208</v>
      </c>
      <c r="H390" s="21" t="str">
        <f>Source!DG280</f>
        <v/>
      </c>
      <c r="I390" s="9">
        <f>Source!AV280</f>
        <v>1</v>
      </c>
      <c r="J390" s="9">
        <f>IF(Source!BA280&lt;&gt; 0, Source!BA280, 1)</f>
        <v>1</v>
      </c>
      <c r="K390" s="22">
        <f>Source!S280</f>
        <v>3120</v>
      </c>
      <c r="L390" s="22"/>
    </row>
    <row r="391" spans="1:22" ht="14.25" x14ac:dyDescent="0.2">
      <c r="A391" s="19"/>
      <c r="B391" s="19"/>
      <c r="C391" s="19"/>
      <c r="D391" s="19" t="s">
        <v>506</v>
      </c>
      <c r="E391" s="20"/>
      <c r="F391" s="9"/>
      <c r="G391" s="22">
        <f>Source!AM280</f>
        <v>78.180000000000007</v>
      </c>
      <c r="H391" s="21" t="str">
        <f>Source!DE280</f>
        <v/>
      </c>
      <c r="I391" s="9">
        <f>Source!AV280</f>
        <v>1</v>
      </c>
      <c r="J391" s="9">
        <f>IF(Source!BB280&lt;&gt; 0, Source!BB280, 1)</f>
        <v>1</v>
      </c>
      <c r="K391" s="22">
        <f>Source!Q280</f>
        <v>1172.7</v>
      </c>
      <c r="L391" s="22"/>
    </row>
    <row r="392" spans="1:22" ht="14.25" x14ac:dyDescent="0.2">
      <c r="A392" s="19"/>
      <c r="B392" s="19"/>
      <c r="C392" s="19"/>
      <c r="D392" s="19" t="s">
        <v>507</v>
      </c>
      <c r="E392" s="20"/>
      <c r="F392" s="9"/>
      <c r="G392" s="22">
        <f>Source!AN280</f>
        <v>49.57</v>
      </c>
      <c r="H392" s="21" t="str">
        <f>Source!DF280</f>
        <v/>
      </c>
      <c r="I392" s="9">
        <f>Source!AV280</f>
        <v>1</v>
      </c>
      <c r="J392" s="9">
        <f>IF(Source!BS280&lt;&gt; 0, Source!BS280, 1)</f>
        <v>1</v>
      </c>
      <c r="K392" s="27">
        <f>Source!R280</f>
        <v>743.55</v>
      </c>
      <c r="L392" s="22"/>
    </row>
    <row r="393" spans="1:22" ht="14.25" x14ac:dyDescent="0.2">
      <c r="A393" s="19"/>
      <c r="B393" s="19"/>
      <c r="C393" s="19"/>
      <c r="D393" s="19" t="s">
        <v>501</v>
      </c>
      <c r="E393" s="20" t="s">
        <v>502</v>
      </c>
      <c r="F393" s="9">
        <f>Source!AT280</f>
        <v>70</v>
      </c>
      <c r="G393" s="22"/>
      <c r="H393" s="21"/>
      <c r="I393" s="9"/>
      <c r="J393" s="9"/>
      <c r="K393" s="22">
        <f>SUM(R388:R392)</f>
        <v>2184</v>
      </c>
      <c r="L393" s="22"/>
    </row>
    <row r="394" spans="1:22" ht="14.25" x14ac:dyDescent="0.2">
      <c r="A394" s="19"/>
      <c r="B394" s="19"/>
      <c r="C394" s="19"/>
      <c r="D394" s="19" t="s">
        <v>503</v>
      </c>
      <c r="E394" s="20" t="s">
        <v>502</v>
      </c>
      <c r="F394" s="9">
        <f>Source!AU280</f>
        <v>10</v>
      </c>
      <c r="G394" s="22"/>
      <c r="H394" s="21"/>
      <c r="I394" s="9"/>
      <c r="J394" s="9"/>
      <c r="K394" s="22">
        <f>SUM(T388:T393)</f>
        <v>312</v>
      </c>
      <c r="L394" s="22"/>
    </row>
    <row r="395" spans="1:22" ht="14.25" x14ac:dyDescent="0.2">
      <c r="A395" s="19"/>
      <c r="B395" s="19"/>
      <c r="C395" s="19"/>
      <c r="D395" s="19" t="s">
        <v>509</v>
      </c>
      <c r="E395" s="20" t="s">
        <v>502</v>
      </c>
      <c r="F395" s="9">
        <f>108</f>
        <v>108</v>
      </c>
      <c r="G395" s="22"/>
      <c r="H395" s="21"/>
      <c r="I395" s="9"/>
      <c r="J395" s="9"/>
      <c r="K395" s="22">
        <f>SUM(V388:V394)</f>
        <v>803.03</v>
      </c>
      <c r="L395" s="22"/>
    </row>
    <row r="396" spans="1:22" ht="14.25" x14ac:dyDescent="0.2">
      <c r="A396" s="19"/>
      <c r="B396" s="19"/>
      <c r="C396" s="19"/>
      <c r="D396" s="19" t="s">
        <v>504</v>
      </c>
      <c r="E396" s="20" t="s">
        <v>505</v>
      </c>
      <c r="F396" s="9">
        <f>Source!AQ280</f>
        <v>0.37</v>
      </c>
      <c r="G396" s="22"/>
      <c r="H396" s="21" t="str">
        <f>Source!DI280</f>
        <v/>
      </c>
      <c r="I396" s="9">
        <f>Source!AV280</f>
        <v>1</v>
      </c>
      <c r="J396" s="9"/>
      <c r="K396" s="22"/>
      <c r="L396" s="22">
        <f>Source!U280</f>
        <v>5.55</v>
      </c>
    </row>
    <row r="397" spans="1:22" ht="15" x14ac:dyDescent="0.25">
      <c r="A397" s="25"/>
      <c r="B397" s="25"/>
      <c r="C397" s="25"/>
      <c r="D397" s="25"/>
      <c r="E397" s="25"/>
      <c r="F397" s="25"/>
      <c r="G397" s="25"/>
      <c r="H397" s="25"/>
      <c r="I397" s="25"/>
      <c r="J397" s="52">
        <f>K390+K391+K393+K394+K395</f>
        <v>7591.73</v>
      </c>
      <c r="K397" s="52"/>
      <c r="L397" s="26">
        <f>IF(Source!I280&lt;&gt;0, ROUND(J397/Source!I280, 2), 0)</f>
        <v>506.12</v>
      </c>
      <c r="P397" s="24">
        <f>J397</f>
        <v>7591.73</v>
      </c>
    </row>
    <row r="398" spans="1:22" ht="28.5" x14ac:dyDescent="0.2">
      <c r="A398" s="19">
        <v>37</v>
      </c>
      <c r="B398" s="19">
        <v>37</v>
      </c>
      <c r="C398" s="19" t="str">
        <f>Source!F285</f>
        <v>1.15-2303-4-1/1</v>
      </c>
      <c r="D398" s="19" t="str">
        <f>Source!G285</f>
        <v>Прочистка сетчатых фильтров грубой очистки воды диаметром до 25 мм</v>
      </c>
      <c r="E398" s="20" t="str">
        <f>Source!H285</f>
        <v>10 шт.</v>
      </c>
      <c r="F398" s="9">
        <f>Source!I285</f>
        <v>1.5</v>
      </c>
      <c r="G398" s="22"/>
      <c r="H398" s="21"/>
      <c r="I398" s="9"/>
      <c r="J398" s="9"/>
      <c r="K398" s="22"/>
      <c r="L398" s="22"/>
      <c r="Q398">
        <f>ROUND((Source!BZ285/100)*ROUND((Source!AF285*Source!AV285)*Source!I285, 2), 2)</f>
        <v>2645.33</v>
      </c>
      <c r="R398">
        <f>Source!X285</f>
        <v>2645.33</v>
      </c>
      <c r="S398">
        <f>ROUND((Source!CA285/100)*ROUND((Source!AF285*Source!AV285)*Source!I285, 2), 2)</f>
        <v>377.9</v>
      </c>
      <c r="T398">
        <f>Source!Y285</f>
        <v>377.9</v>
      </c>
      <c r="U398">
        <f>ROUND((175/100)*ROUND((Source!AE285*Source!AV285)*Source!I285, 2), 2)</f>
        <v>0</v>
      </c>
      <c r="V398">
        <f>ROUND((108/100)*ROUND(Source!CS285*Source!I285, 2), 2)</f>
        <v>0</v>
      </c>
    </row>
    <row r="399" spans="1:22" x14ac:dyDescent="0.2">
      <c r="D399" s="23" t="str">
        <f>"Объем: "&amp;Source!I285&amp;"=15/"&amp;"10"</f>
        <v>Объем: 1,5=15/10</v>
      </c>
    </row>
    <row r="400" spans="1:22" ht="14.25" x14ac:dyDescent="0.2">
      <c r="A400" s="19"/>
      <c r="B400" s="19"/>
      <c r="C400" s="19"/>
      <c r="D400" s="19" t="s">
        <v>500</v>
      </c>
      <c r="E400" s="20"/>
      <c r="F400" s="9"/>
      <c r="G400" s="22">
        <f>Source!AO285</f>
        <v>1259.68</v>
      </c>
      <c r="H400" s="21" t="str">
        <f>Source!DG285</f>
        <v>)*2</v>
      </c>
      <c r="I400" s="9">
        <f>Source!AV285</f>
        <v>1</v>
      </c>
      <c r="J400" s="9">
        <f>IF(Source!BA285&lt;&gt; 0, Source!BA285, 1)</f>
        <v>1</v>
      </c>
      <c r="K400" s="22">
        <f>Source!S285</f>
        <v>3779.04</v>
      </c>
      <c r="L400" s="22"/>
    </row>
    <row r="401" spans="1:22" ht="14.25" x14ac:dyDescent="0.2">
      <c r="A401" s="19"/>
      <c r="B401" s="19"/>
      <c r="C401" s="19"/>
      <c r="D401" s="19" t="s">
        <v>501</v>
      </c>
      <c r="E401" s="20" t="s">
        <v>502</v>
      </c>
      <c r="F401" s="9">
        <f>Source!AT285</f>
        <v>70</v>
      </c>
      <c r="G401" s="22"/>
      <c r="H401" s="21"/>
      <c r="I401" s="9"/>
      <c r="J401" s="9"/>
      <c r="K401" s="22">
        <f>SUM(R398:R400)</f>
        <v>2645.33</v>
      </c>
      <c r="L401" s="22"/>
    </row>
    <row r="402" spans="1:22" ht="14.25" x14ac:dyDescent="0.2">
      <c r="A402" s="19"/>
      <c r="B402" s="19"/>
      <c r="C402" s="19"/>
      <c r="D402" s="19" t="s">
        <v>503</v>
      </c>
      <c r="E402" s="20" t="s">
        <v>502</v>
      </c>
      <c r="F402" s="9">
        <f>Source!AU285</f>
        <v>10</v>
      </c>
      <c r="G402" s="22"/>
      <c r="H402" s="21"/>
      <c r="I402" s="9"/>
      <c r="J402" s="9"/>
      <c r="K402" s="22">
        <f>SUM(T398:T401)</f>
        <v>377.9</v>
      </c>
      <c r="L402" s="22"/>
    </row>
    <row r="403" spans="1:22" ht="14.25" x14ac:dyDescent="0.2">
      <c r="A403" s="19"/>
      <c r="B403" s="19"/>
      <c r="C403" s="19"/>
      <c r="D403" s="19" t="s">
        <v>504</v>
      </c>
      <c r="E403" s="20" t="s">
        <v>505</v>
      </c>
      <c r="F403" s="9">
        <f>Source!AQ285</f>
        <v>2.04</v>
      </c>
      <c r="G403" s="22"/>
      <c r="H403" s="21" t="str">
        <f>Source!DI285</f>
        <v>)*2</v>
      </c>
      <c r="I403" s="9">
        <f>Source!AV285</f>
        <v>1</v>
      </c>
      <c r="J403" s="9"/>
      <c r="K403" s="22"/>
      <c r="L403" s="22">
        <f>Source!U285</f>
        <v>6.12</v>
      </c>
    </row>
    <row r="404" spans="1:22" ht="15" x14ac:dyDescent="0.25">
      <c r="A404" s="25"/>
      <c r="B404" s="25"/>
      <c r="C404" s="25"/>
      <c r="D404" s="25"/>
      <c r="E404" s="25"/>
      <c r="F404" s="25"/>
      <c r="G404" s="25"/>
      <c r="H404" s="25"/>
      <c r="I404" s="25"/>
      <c r="J404" s="52">
        <f>K400+K401+K402</f>
        <v>6802.2699999999995</v>
      </c>
      <c r="K404" s="52"/>
      <c r="L404" s="26">
        <f>IF(Source!I285&lt;&gt;0, ROUND(J404/Source!I285, 2), 0)</f>
        <v>4534.8500000000004</v>
      </c>
      <c r="P404" s="24">
        <f>J404</f>
        <v>6802.2699999999995</v>
      </c>
    </row>
    <row r="405" spans="1:22" ht="42.75" x14ac:dyDescent="0.2">
      <c r="A405" s="19">
        <v>38</v>
      </c>
      <c r="B405" s="19">
        <v>38</v>
      </c>
      <c r="C405" s="19" t="str">
        <f>Source!F286</f>
        <v>1.23-2103-41-1/1</v>
      </c>
      <c r="D405" s="19" t="str">
        <f>Source!G286</f>
        <v>Техническое обслуживание регулирующего клапана/ прим. Клапан предохранительный ДУ 15</v>
      </c>
      <c r="E405" s="20" t="str">
        <f>Source!H286</f>
        <v>шт.</v>
      </c>
      <c r="F405" s="9">
        <f>Source!I286</f>
        <v>15</v>
      </c>
      <c r="G405" s="22"/>
      <c r="H405" s="21"/>
      <c r="I405" s="9"/>
      <c r="J405" s="9"/>
      <c r="K405" s="22"/>
      <c r="L405" s="22"/>
      <c r="Q405">
        <f>ROUND((Source!BZ286/100)*ROUND((Source!AF286*Source!AV286)*Source!I286, 2), 2)</f>
        <v>4368</v>
      </c>
      <c r="R405">
        <f>Source!X286</f>
        <v>4368</v>
      </c>
      <c r="S405">
        <f>ROUND((Source!CA286/100)*ROUND((Source!AF286*Source!AV286)*Source!I286, 2), 2)</f>
        <v>624</v>
      </c>
      <c r="T405">
        <f>Source!Y286</f>
        <v>624</v>
      </c>
      <c r="U405">
        <f>ROUND((175/100)*ROUND((Source!AE286*Source!AV286)*Source!I286, 2), 2)</f>
        <v>2602.4299999999998</v>
      </c>
      <c r="V405">
        <f>ROUND((108/100)*ROUND(Source!CS286*Source!I286, 2), 2)</f>
        <v>1606.07</v>
      </c>
    </row>
    <row r="406" spans="1:22" x14ac:dyDescent="0.2">
      <c r="D406" s="23" t="str">
        <f>"Объем: "&amp;Source!I286&amp;"=1*"&amp;"15"</f>
        <v>Объем: 15=1*15</v>
      </c>
    </row>
    <row r="407" spans="1:22" ht="14.25" x14ac:dyDescent="0.2">
      <c r="A407" s="19"/>
      <c r="B407" s="19"/>
      <c r="C407" s="19"/>
      <c r="D407" s="19" t="s">
        <v>500</v>
      </c>
      <c r="E407" s="20"/>
      <c r="F407" s="9"/>
      <c r="G407" s="22">
        <f>Source!AO286</f>
        <v>208</v>
      </c>
      <c r="H407" s="21" t="str">
        <f>Source!DG286</f>
        <v>)*2</v>
      </c>
      <c r="I407" s="9">
        <f>Source!AV286</f>
        <v>1</v>
      </c>
      <c r="J407" s="9">
        <f>IF(Source!BA286&lt;&gt; 0, Source!BA286, 1)</f>
        <v>1</v>
      </c>
      <c r="K407" s="22">
        <f>Source!S286</f>
        <v>6240</v>
      </c>
      <c r="L407" s="22"/>
    </row>
    <row r="408" spans="1:22" ht="14.25" x14ac:dyDescent="0.2">
      <c r="A408" s="19"/>
      <c r="B408" s="19"/>
      <c r="C408" s="19"/>
      <c r="D408" s="19" t="s">
        <v>506</v>
      </c>
      <c r="E408" s="20"/>
      <c r="F408" s="9"/>
      <c r="G408" s="22">
        <f>Source!AM286</f>
        <v>78.180000000000007</v>
      </c>
      <c r="H408" s="21" t="str">
        <f>Source!DE286</f>
        <v>)*2</v>
      </c>
      <c r="I408" s="9">
        <f>Source!AV286</f>
        <v>1</v>
      </c>
      <c r="J408" s="9">
        <f>IF(Source!BB286&lt;&gt; 0, Source!BB286, 1)</f>
        <v>1</v>
      </c>
      <c r="K408" s="22">
        <f>Source!Q286</f>
        <v>2345.4</v>
      </c>
      <c r="L408" s="22"/>
    </row>
    <row r="409" spans="1:22" ht="14.25" x14ac:dyDescent="0.2">
      <c r="A409" s="19"/>
      <c r="B409" s="19"/>
      <c r="C409" s="19"/>
      <c r="D409" s="19" t="s">
        <v>507</v>
      </c>
      <c r="E409" s="20"/>
      <c r="F409" s="9"/>
      <c r="G409" s="22">
        <f>Source!AN286</f>
        <v>49.57</v>
      </c>
      <c r="H409" s="21" t="str">
        <f>Source!DF286</f>
        <v>)*2</v>
      </c>
      <c r="I409" s="9">
        <f>Source!AV286</f>
        <v>1</v>
      </c>
      <c r="J409" s="9">
        <f>IF(Source!BS286&lt;&gt; 0, Source!BS286, 1)</f>
        <v>1</v>
      </c>
      <c r="K409" s="27">
        <f>Source!R286</f>
        <v>1487.1</v>
      </c>
      <c r="L409" s="22"/>
    </row>
    <row r="410" spans="1:22" ht="14.25" x14ac:dyDescent="0.2">
      <c r="A410" s="19"/>
      <c r="B410" s="19"/>
      <c r="C410" s="19"/>
      <c r="D410" s="19" t="s">
        <v>501</v>
      </c>
      <c r="E410" s="20" t="s">
        <v>502</v>
      </c>
      <c r="F410" s="9">
        <f>Source!AT286</f>
        <v>70</v>
      </c>
      <c r="G410" s="22"/>
      <c r="H410" s="21"/>
      <c r="I410" s="9"/>
      <c r="J410" s="9"/>
      <c r="K410" s="22">
        <f>SUM(R405:R409)</f>
        <v>4368</v>
      </c>
      <c r="L410" s="22"/>
    </row>
    <row r="411" spans="1:22" ht="14.25" x14ac:dyDescent="0.2">
      <c r="A411" s="19"/>
      <c r="B411" s="19"/>
      <c r="C411" s="19"/>
      <c r="D411" s="19" t="s">
        <v>503</v>
      </c>
      <c r="E411" s="20" t="s">
        <v>502</v>
      </c>
      <c r="F411" s="9">
        <f>Source!AU286</f>
        <v>10</v>
      </c>
      <c r="G411" s="22"/>
      <c r="H411" s="21"/>
      <c r="I411" s="9"/>
      <c r="J411" s="9"/>
      <c r="K411" s="22">
        <f>SUM(T405:T410)</f>
        <v>624</v>
      </c>
      <c r="L411" s="22"/>
    </row>
    <row r="412" spans="1:22" ht="14.25" x14ac:dyDescent="0.2">
      <c r="A412" s="19"/>
      <c r="B412" s="19"/>
      <c r="C412" s="19"/>
      <c r="D412" s="19" t="s">
        <v>509</v>
      </c>
      <c r="E412" s="20" t="s">
        <v>502</v>
      </c>
      <c r="F412" s="9">
        <f>108</f>
        <v>108</v>
      </c>
      <c r="G412" s="22"/>
      <c r="H412" s="21"/>
      <c r="I412" s="9"/>
      <c r="J412" s="9"/>
      <c r="K412" s="22">
        <f>SUM(V405:V411)</f>
        <v>1606.07</v>
      </c>
      <c r="L412" s="22"/>
    </row>
    <row r="413" spans="1:22" ht="14.25" x14ac:dyDescent="0.2">
      <c r="A413" s="19"/>
      <c r="B413" s="19"/>
      <c r="C413" s="19"/>
      <c r="D413" s="19" t="s">
        <v>504</v>
      </c>
      <c r="E413" s="20" t="s">
        <v>505</v>
      </c>
      <c r="F413" s="9">
        <f>Source!AQ286</f>
        <v>0.37</v>
      </c>
      <c r="G413" s="22"/>
      <c r="H413" s="21" t="str">
        <f>Source!DI286</f>
        <v>)*2</v>
      </c>
      <c r="I413" s="9">
        <f>Source!AV286</f>
        <v>1</v>
      </c>
      <c r="J413" s="9"/>
      <c r="K413" s="22"/>
      <c r="L413" s="22">
        <f>Source!U286</f>
        <v>11.1</v>
      </c>
    </row>
    <row r="414" spans="1:22" ht="15" x14ac:dyDescent="0.25">
      <c r="A414" s="25"/>
      <c r="B414" s="25"/>
      <c r="C414" s="25"/>
      <c r="D414" s="25"/>
      <c r="E414" s="25"/>
      <c r="F414" s="25"/>
      <c r="G414" s="25"/>
      <c r="H414" s="25"/>
      <c r="I414" s="25"/>
      <c r="J414" s="52">
        <f>K407+K408+K410+K411+K412</f>
        <v>15183.47</v>
      </c>
      <c r="K414" s="52"/>
      <c r="L414" s="26">
        <f>IF(Source!I286&lt;&gt;0, ROUND(J414/Source!I286, 2), 0)</f>
        <v>1012.23</v>
      </c>
      <c r="P414" s="24">
        <f>J414</f>
        <v>15183.47</v>
      </c>
    </row>
    <row r="415" spans="1:22" ht="42.75" x14ac:dyDescent="0.2">
      <c r="A415" s="19">
        <v>39</v>
      </c>
      <c r="B415" s="19">
        <v>39</v>
      </c>
      <c r="C415" s="19" t="str">
        <f>Source!F287</f>
        <v>1.15-2203-7-1/1</v>
      </c>
      <c r="D415" s="19" t="str">
        <f>Source!G287</f>
        <v>Техническое обслуживание крана шарового латунного никелированного диаметром до 25 мм прим. Ду 15</v>
      </c>
      <c r="E415" s="20" t="str">
        <f>Source!H287</f>
        <v>10 шт.</v>
      </c>
      <c r="F415" s="9">
        <f>Source!I287</f>
        <v>10.5</v>
      </c>
      <c r="G415" s="22"/>
      <c r="H415" s="21"/>
      <c r="I415" s="9"/>
      <c r="J415" s="9"/>
      <c r="K415" s="22"/>
      <c r="L415" s="22"/>
      <c r="Q415">
        <f>ROUND((Source!BZ287/100)*ROUND((Source!AF287*Source!AV287)*Source!I287, 2), 2)</f>
        <v>2042.35</v>
      </c>
      <c r="R415">
        <f>Source!X287</f>
        <v>2042.35</v>
      </c>
      <c r="S415">
        <f>ROUND((Source!CA287/100)*ROUND((Source!AF287*Source!AV287)*Source!I287, 2), 2)</f>
        <v>291.76</v>
      </c>
      <c r="T415">
        <f>Source!Y287</f>
        <v>291.76</v>
      </c>
      <c r="U415">
        <f>ROUND((175/100)*ROUND((Source!AE287*Source!AV287)*Source!I287, 2), 2)</f>
        <v>0</v>
      </c>
      <c r="V415">
        <f>ROUND((108/100)*ROUND(Source!CS287*Source!I287, 2), 2)</f>
        <v>0</v>
      </c>
    </row>
    <row r="416" spans="1:22" x14ac:dyDescent="0.2">
      <c r="D416" s="23" t="str">
        <f>"Объем: "&amp;Source!I287&amp;"=7*"&amp;"15/"&amp;"10"</f>
        <v>Объем: 10,5=7*15/10</v>
      </c>
    </row>
    <row r="417" spans="1:22" ht="14.25" x14ac:dyDescent="0.2">
      <c r="A417" s="19"/>
      <c r="B417" s="19"/>
      <c r="C417" s="19"/>
      <c r="D417" s="19" t="s">
        <v>500</v>
      </c>
      <c r="E417" s="20"/>
      <c r="F417" s="9"/>
      <c r="G417" s="22">
        <f>Source!AO287</f>
        <v>277.87</v>
      </c>
      <c r="H417" s="21" t="str">
        <f>Source!DG287</f>
        <v/>
      </c>
      <c r="I417" s="9">
        <f>Source!AV287</f>
        <v>1</v>
      </c>
      <c r="J417" s="9">
        <f>IF(Source!BA287&lt;&gt; 0, Source!BA287, 1)</f>
        <v>1</v>
      </c>
      <c r="K417" s="22">
        <f>Source!S287</f>
        <v>2917.64</v>
      </c>
      <c r="L417" s="22"/>
    </row>
    <row r="418" spans="1:22" ht="14.25" x14ac:dyDescent="0.2">
      <c r="A418" s="19"/>
      <c r="B418" s="19"/>
      <c r="C418" s="19"/>
      <c r="D418" s="19" t="s">
        <v>501</v>
      </c>
      <c r="E418" s="20" t="s">
        <v>502</v>
      </c>
      <c r="F418" s="9">
        <f>Source!AT287</f>
        <v>70</v>
      </c>
      <c r="G418" s="22"/>
      <c r="H418" s="21"/>
      <c r="I418" s="9"/>
      <c r="J418" s="9"/>
      <c r="K418" s="22">
        <f>SUM(R415:R417)</f>
        <v>2042.35</v>
      </c>
      <c r="L418" s="22"/>
    </row>
    <row r="419" spans="1:22" ht="14.25" x14ac:dyDescent="0.2">
      <c r="A419" s="19"/>
      <c r="B419" s="19"/>
      <c r="C419" s="19"/>
      <c r="D419" s="19" t="s">
        <v>503</v>
      </c>
      <c r="E419" s="20" t="s">
        <v>502</v>
      </c>
      <c r="F419" s="9">
        <f>Source!AU287</f>
        <v>10</v>
      </c>
      <c r="G419" s="22"/>
      <c r="H419" s="21"/>
      <c r="I419" s="9"/>
      <c r="J419" s="9"/>
      <c r="K419" s="22">
        <f>SUM(T415:T418)</f>
        <v>291.76</v>
      </c>
      <c r="L419" s="22"/>
    </row>
    <row r="420" spans="1:22" ht="14.25" x14ac:dyDescent="0.2">
      <c r="A420" s="19"/>
      <c r="B420" s="19"/>
      <c r="C420" s="19"/>
      <c r="D420" s="19" t="s">
        <v>504</v>
      </c>
      <c r="E420" s="20" t="s">
        <v>505</v>
      </c>
      <c r="F420" s="9">
        <f>Source!AQ287</f>
        <v>0.45</v>
      </c>
      <c r="G420" s="22"/>
      <c r="H420" s="21" t="str">
        <f>Source!DI287</f>
        <v/>
      </c>
      <c r="I420" s="9">
        <f>Source!AV287</f>
        <v>1</v>
      </c>
      <c r="J420" s="9"/>
      <c r="K420" s="22"/>
      <c r="L420" s="22">
        <f>Source!U287</f>
        <v>4.7250000000000005</v>
      </c>
    </row>
    <row r="421" spans="1:22" ht="15" x14ac:dyDescent="0.25">
      <c r="A421" s="25"/>
      <c r="B421" s="25"/>
      <c r="C421" s="25"/>
      <c r="D421" s="25"/>
      <c r="E421" s="25"/>
      <c r="F421" s="25"/>
      <c r="G421" s="25"/>
      <c r="H421" s="25"/>
      <c r="I421" s="25"/>
      <c r="J421" s="52">
        <f>K417+K418+K419</f>
        <v>5251.75</v>
      </c>
      <c r="K421" s="52"/>
      <c r="L421" s="26">
        <f>IF(Source!I287&lt;&gt;0, ROUND(J421/Source!I287, 2), 0)</f>
        <v>500.17</v>
      </c>
      <c r="P421" s="24">
        <f>J421</f>
        <v>5251.75</v>
      </c>
    </row>
    <row r="422" spans="1:22" ht="42.75" x14ac:dyDescent="0.2">
      <c r="A422" s="19">
        <v>40</v>
      </c>
      <c r="B422" s="19">
        <v>40</v>
      </c>
      <c r="C422" s="19" t="str">
        <f>Source!F288</f>
        <v>1.21-2303-24-1/1</v>
      </c>
      <c r="D422" s="19" t="str">
        <f>Source!G288</f>
        <v>Техническое обслуживание электроводонагревателей объемом до 80 литров</v>
      </c>
      <c r="E422" s="20" t="str">
        <f>Source!H288</f>
        <v>шт.</v>
      </c>
      <c r="F422" s="9">
        <f>Source!I288</f>
        <v>15</v>
      </c>
      <c r="G422" s="22"/>
      <c r="H422" s="21"/>
      <c r="I422" s="9"/>
      <c r="J422" s="9"/>
      <c r="K422" s="22"/>
      <c r="L422" s="22"/>
      <c r="Q422">
        <f>ROUND((Source!BZ288/100)*ROUND((Source!AF288*Source!AV288)*Source!I288, 2), 2)</f>
        <v>13062.32</v>
      </c>
      <c r="R422">
        <f>Source!X288</f>
        <v>13062.32</v>
      </c>
      <c r="S422">
        <f>ROUND((Source!CA288/100)*ROUND((Source!AF288*Source!AV288)*Source!I288, 2), 2)</f>
        <v>1866.05</v>
      </c>
      <c r="T422">
        <f>Source!Y288</f>
        <v>1866.05</v>
      </c>
      <c r="U422">
        <f>ROUND((175/100)*ROUND((Source!AE288*Source!AV288)*Source!I288, 2), 2)</f>
        <v>23487.71</v>
      </c>
      <c r="V422">
        <f>ROUND((108/100)*ROUND(Source!CS288*Source!I288, 2), 2)</f>
        <v>14495.27</v>
      </c>
    </row>
    <row r="423" spans="1:22" x14ac:dyDescent="0.2">
      <c r="D423" s="23" t="str">
        <f>"Объем: "&amp;Source!I288&amp;"=1*"&amp;"15"</f>
        <v>Объем: 15=1*15</v>
      </c>
    </row>
    <row r="424" spans="1:22" ht="14.25" x14ac:dyDescent="0.2">
      <c r="A424" s="19"/>
      <c r="B424" s="19"/>
      <c r="C424" s="19"/>
      <c r="D424" s="19" t="s">
        <v>500</v>
      </c>
      <c r="E424" s="20"/>
      <c r="F424" s="9"/>
      <c r="G424" s="22">
        <f>Source!AO288</f>
        <v>1244.03</v>
      </c>
      <c r="H424" s="21" t="str">
        <f>Source!DG288</f>
        <v/>
      </c>
      <c r="I424" s="9">
        <f>Source!AV288</f>
        <v>1</v>
      </c>
      <c r="J424" s="9">
        <f>IF(Source!BA288&lt;&gt; 0, Source!BA288, 1)</f>
        <v>1</v>
      </c>
      <c r="K424" s="22">
        <f>Source!S288</f>
        <v>18660.45</v>
      </c>
      <c r="L424" s="22"/>
    </row>
    <row r="425" spans="1:22" ht="14.25" x14ac:dyDescent="0.2">
      <c r="A425" s="19"/>
      <c r="B425" s="19"/>
      <c r="C425" s="19"/>
      <c r="D425" s="19" t="s">
        <v>506</v>
      </c>
      <c r="E425" s="20"/>
      <c r="F425" s="9"/>
      <c r="G425" s="22">
        <f>Source!AM288</f>
        <v>1411.16</v>
      </c>
      <c r="H425" s="21" t="str">
        <f>Source!DE288</f>
        <v/>
      </c>
      <c r="I425" s="9">
        <f>Source!AV288</f>
        <v>1</v>
      </c>
      <c r="J425" s="9">
        <f>IF(Source!BB288&lt;&gt; 0, Source!BB288, 1)</f>
        <v>1</v>
      </c>
      <c r="K425" s="22">
        <f>Source!Q288</f>
        <v>21167.4</v>
      </c>
      <c r="L425" s="22"/>
    </row>
    <row r="426" spans="1:22" ht="14.25" x14ac:dyDescent="0.2">
      <c r="A426" s="19"/>
      <c r="B426" s="19"/>
      <c r="C426" s="19"/>
      <c r="D426" s="19" t="s">
        <v>507</v>
      </c>
      <c r="E426" s="20"/>
      <c r="F426" s="9"/>
      <c r="G426" s="22">
        <f>Source!AN288</f>
        <v>894.77</v>
      </c>
      <c r="H426" s="21" t="str">
        <f>Source!DF288</f>
        <v/>
      </c>
      <c r="I426" s="9">
        <f>Source!AV288</f>
        <v>1</v>
      </c>
      <c r="J426" s="9">
        <f>IF(Source!BS288&lt;&gt; 0, Source!BS288, 1)</f>
        <v>1</v>
      </c>
      <c r="K426" s="27">
        <f>Source!R288</f>
        <v>13421.55</v>
      </c>
      <c r="L426" s="22"/>
    </row>
    <row r="427" spans="1:22" ht="14.25" x14ac:dyDescent="0.2">
      <c r="A427" s="19"/>
      <c r="B427" s="19"/>
      <c r="C427" s="19"/>
      <c r="D427" s="19" t="s">
        <v>508</v>
      </c>
      <c r="E427" s="20"/>
      <c r="F427" s="9"/>
      <c r="G427" s="22">
        <f>Source!AL288</f>
        <v>0.63</v>
      </c>
      <c r="H427" s="21" t="str">
        <f>Source!DD288</f>
        <v/>
      </c>
      <c r="I427" s="9">
        <f>Source!AW288</f>
        <v>1</v>
      </c>
      <c r="J427" s="9">
        <f>IF(Source!BC288&lt;&gt; 0, Source!BC288, 1)</f>
        <v>1</v>
      </c>
      <c r="K427" s="22">
        <f>Source!P288</f>
        <v>9.4499999999999993</v>
      </c>
      <c r="L427" s="22"/>
    </row>
    <row r="428" spans="1:22" ht="14.25" x14ac:dyDescent="0.2">
      <c r="A428" s="19"/>
      <c r="B428" s="19"/>
      <c r="C428" s="19"/>
      <c r="D428" s="19" t="s">
        <v>501</v>
      </c>
      <c r="E428" s="20" t="s">
        <v>502</v>
      </c>
      <c r="F428" s="9">
        <f>Source!AT288</f>
        <v>70</v>
      </c>
      <c r="G428" s="22"/>
      <c r="H428" s="21"/>
      <c r="I428" s="9"/>
      <c r="J428" s="9"/>
      <c r="K428" s="22">
        <f>SUM(R422:R427)</f>
        <v>13062.32</v>
      </c>
      <c r="L428" s="22"/>
    </row>
    <row r="429" spans="1:22" ht="14.25" x14ac:dyDescent="0.2">
      <c r="A429" s="19"/>
      <c r="B429" s="19"/>
      <c r="C429" s="19"/>
      <c r="D429" s="19" t="s">
        <v>503</v>
      </c>
      <c r="E429" s="20" t="s">
        <v>502</v>
      </c>
      <c r="F429" s="9">
        <f>Source!AU288</f>
        <v>10</v>
      </c>
      <c r="G429" s="22"/>
      <c r="H429" s="21"/>
      <c r="I429" s="9"/>
      <c r="J429" s="9"/>
      <c r="K429" s="22">
        <f>SUM(T422:T428)</f>
        <v>1866.05</v>
      </c>
      <c r="L429" s="22"/>
    </row>
    <row r="430" spans="1:22" ht="14.25" x14ac:dyDescent="0.2">
      <c r="A430" s="19"/>
      <c r="B430" s="19"/>
      <c r="C430" s="19"/>
      <c r="D430" s="19" t="s">
        <v>509</v>
      </c>
      <c r="E430" s="20" t="s">
        <v>502</v>
      </c>
      <c r="F430" s="9">
        <f>108</f>
        <v>108</v>
      </c>
      <c r="G430" s="22"/>
      <c r="H430" s="21"/>
      <c r="I430" s="9"/>
      <c r="J430" s="9"/>
      <c r="K430" s="22">
        <f>SUM(V422:V429)</f>
        <v>14495.27</v>
      </c>
      <c r="L430" s="22"/>
    </row>
    <row r="431" spans="1:22" ht="14.25" x14ac:dyDescent="0.2">
      <c r="A431" s="19"/>
      <c r="B431" s="19"/>
      <c r="C431" s="19"/>
      <c r="D431" s="19" t="s">
        <v>504</v>
      </c>
      <c r="E431" s="20" t="s">
        <v>505</v>
      </c>
      <c r="F431" s="9">
        <f>Source!AQ288</f>
        <v>1.75</v>
      </c>
      <c r="G431" s="22"/>
      <c r="H431" s="21" t="str">
        <f>Source!DI288</f>
        <v/>
      </c>
      <c r="I431" s="9">
        <f>Source!AV288</f>
        <v>1</v>
      </c>
      <c r="J431" s="9"/>
      <c r="K431" s="22"/>
      <c r="L431" s="22">
        <f>Source!U288</f>
        <v>26.25</v>
      </c>
    </row>
    <row r="432" spans="1:22" ht="15" x14ac:dyDescent="0.25">
      <c r="A432" s="25"/>
      <c r="B432" s="25"/>
      <c r="C432" s="25"/>
      <c r="D432" s="25"/>
      <c r="E432" s="25"/>
      <c r="F432" s="25"/>
      <c r="G432" s="25"/>
      <c r="H432" s="25"/>
      <c r="I432" s="25"/>
      <c r="J432" s="52">
        <f>K424+K425+K427+K428+K429+K430</f>
        <v>69260.94</v>
      </c>
      <c r="K432" s="52"/>
      <c r="L432" s="26">
        <f>IF(Source!I288&lt;&gt;0, ROUND(J432/Source!I288, 2), 0)</f>
        <v>4617.3999999999996</v>
      </c>
      <c r="P432" s="24">
        <f>J432</f>
        <v>69260.94</v>
      </c>
    </row>
    <row r="434" spans="1:22" ht="15" x14ac:dyDescent="0.25">
      <c r="A434" s="54" t="str">
        <f>CONCATENATE("Итого по подразделу: ",IF(Source!G292&lt;&gt;"Новый подраздел", Source!G292, ""))</f>
        <v>Итого по подразделу: Система внутреннего водоснабжения и водоотведения</v>
      </c>
      <c r="B434" s="54"/>
      <c r="C434" s="54"/>
      <c r="D434" s="54"/>
      <c r="E434" s="54"/>
      <c r="F434" s="54"/>
      <c r="G434" s="54"/>
      <c r="H434" s="54"/>
      <c r="I434" s="54"/>
      <c r="J434" s="53">
        <f>SUM(P322:P433)</f>
        <v>189869.88</v>
      </c>
      <c r="K434" s="73"/>
      <c r="L434" s="28"/>
    </row>
    <row r="437" spans="1:22" ht="16.5" x14ac:dyDescent="0.25">
      <c r="A437" s="51" t="str">
        <f>CONCATENATE("Подраздел: ",IF(Source!G322&lt;&gt;"Новый подраздел", Source!G322, ""))</f>
        <v>Подраздел: Отопление</v>
      </c>
      <c r="B437" s="51"/>
      <c r="C437" s="51"/>
      <c r="D437" s="51"/>
      <c r="E437" s="51"/>
      <c r="F437" s="51"/>
      <c r="G437" s="51"/>
      <c r="H437" s="51"/>
      <c r="I437" s="51"/>
      <c r="J437" s="51"/>
      <c r="K437" s="51"/>
      <c r="L437" s="51"/>
    </row>
    <row r="438" spans="1:22" ht="57" x14ac:dyDescent="0.2">
      <c r="A438" s="19">
        <v>41</v>
      </c>
      <c r="B438" s="19">
        <v>41</v>
      </c>
      <c r="C438" s="19" t="str">
        <f>Source!F327</f>
        <v>1.21-2303-50-1/1</v>
      </c>
      <c r="D438" s="19" t="str">
        <f>Source!G327</f>
        <v>Техническое обслуживание  конвектора электрического настенного крепления, с механическим термостатом, мощность до 2,0 кВт</v>
      </c>
      <c r="E438" s="20" t="str">
        <f>Source!H327</f>
        <v>шт.</v>
      </c>
      <c r="F438" s="9">
        <f>Source!I327</f>
        <v>30</v>
      </c>
      <c r="G438" s="22"/>
      <c r="H438" s="21"/>
      <c r="I438" s="9"/>
      <c r="J438" s="9"/>
      <c r="K438" s="22"/>
      <c r="L438" s="22"/>
      <c r="Q438">
        <f>ROUND((Source!BZ327/100)*ROUND((Source!AF327*Source!AV327)*Source!I327, 2), 2)</f>
        <v>1815.45</v>
      </c>
      <c r="R438">
        <f>Source!X327</f>
        <v>1815.45</v>
      </c>
      <c r="S438">
        <f>ROUND((Source!CA327/100)*ROUND((Source!AF327*Source!AV327)*Source!I327, 2), 2)</f>
        <v>259.35000000000002</v>
      </c>
      <c r="T438">
        <f>Source!Y327</f>
        <v>259.35000000000002</v>
      </c>
      <c r="U438">
        <f>ROUND((175/100)*ROUND((Source!AE327*Source!AV327)*Source!I327, 2), 2)</f>
        <v>0</v>
      </c>
      <c r="V438">
        <f>ROUND((108/100)*ROUND(Source!CS327*Source!I327, 2), 2)</f>
        <v>0</v>
      </c>
    </row>
    <row r="439" spans="1:22" x14ac:dyDescent="0.2">
      <c r="D439" s="23" t="str">
        <f>"Объем: "&amp;Source!I327&amp;"=2*"&amp;"15"</f>
        <v>Объем: 30=2*15</v>
      </c>
    </row>
    <row r="440" spans="1:22" ht="14.25" x14ac:dyDescent="0.2">
      <c r="A440" s="19"/>
      <c r="B440" s="19"/>
      <c r="C440" s="19"/>
      <c r="D440" s="19" t="s">
        <v>500</v>
      </c>
      <c r="E440" s="20"/>
      <c r="F440" s="9"/>
      <c r="G440" s="22">
        <f>Source!AO327</f>
        <v>86.45</v>
      </c>
      <c r="H440" s="21" t="str">
        <f>Source!DG327</f>
        <v/>
      </c>
      <c r="I440" s="9">
        <f>Source!AV327</f>
        <v>1</v>
      </c>
      <c r="J440" s="9">
        <f>IF(Source!BA327&lt;&gt; 0, Source!BA327, 1)</f>
        <v>1</v>
      </c>
      <c r="K440" s="22">
        <f>Source!S327</f>
        <v>2593.5</v>
      </c>
      <c r="L440" s="22"/>
    </row>
    <row r="441" spans="1:22" ht="14.25" x14ac:dyDescent="0.2">
      <c r="A441" s="19"/>
      <c r="B441" s="19"/>
      <c r="C441" s="19"/>
      <c r="D441" s="19" t="s">
        <v>506</v>
      </c>
      <c r="E441" s="20"/>
      <c r="F441" s="9"/>
      <c r="G441" s="22">
        <f>Source!AM327</f>
        <v>0.23</v>
      </c>
      <c r="H441" s="21" t="str">
        <f>Source!DE327</f>
        <v/>
      </c>
      <c r="I441" s="9">
        <f>Source!AV327</f>
        <v>1</v>
      </c>
      <c r="J441" s="9">
        <f>IF(Source!BB327&lt;&gt; 0, Source!BB327, 1)</f>
        <v>1</v>
      </c>
      <c r="K441" s="22">
        <f>Source!Q327</f>
        <v>6.9</v>
      </c>
      <c r="L441" s="22"/>
    </row>
    <row r="442" spans="1:22" ht="14.25" x14ac:dyDescent="0.2">
      <c r="A442" s="19"/>
      <c r="B442" s="19"/>
      <c r="C442" s="19"/>
      <c r="D442" s="19" t="s">
        <v>508</v>
      </c>
      <c r="E442" s="20"/>
      <c r="F442" s="9"/>
      <c r="G442" s="22">
        <f>Source!AL327</f>
        <v>2.2000000000000002</v>
      </c>
      <c r="H442" s="21" t="str">
        <f>Source!DD327</f>
        <v/>
      </c>
      <c r="I442" s="9">
        <f>Source!AW327</f>
        <v>1</v>
      </c>
      <c r="J442" s="9">
        <f>IF(Source!BC327&lt;&gt; 0, Source!BC327, 1)</f>
        <v>1</v>
      </c>
      <c r="K442" s="22">
        <f>Source!P327</f>
        <v>66</v>
      </c>
      <c r="L442" s="22"/>
    </row>
    <row r="443" spans="1:22" ht="14.25" x14ac:dyDescent="0.2">
      <c r="A443" s="19"/>
      <c r="B443" s="19"/>
      <c r="C443" s="19"/>
      <c r="D443" s="19" t="s">
        <v>501</v>
      </c>
      <c r="E443" s="20" t="s">
        <v>502</v>
      </c>
      <c r="F443" s="9">
        <f>Source!AT327</f>
        <v>70</v>
      </c>
      <c r="G443" s="22"/>
      <c r="H443" s="21"/>
      <c r="I443" s="9"/>
      <c r="J443" s="9"/>
      <c r="K443" s="22">
        <f>SUM(R438:R442)</f>
        <v>1815.45</v>
      </c>
      <c r="L443" s="22"/>
    </row>
    <row r="444" spans="1:22" ht="14.25" x14ac:dyDescent="0.2">
      <c r="A444" s="19"/>
      <c r="B444" s="19"/>
      <c r="C444" s="19"/>
      <c r="D444" s="19" t="s">
        <v>503</v>
      </c>
      <c r="E444" s="20" t="s">
        <v>502</v>
      </c>
      <c r="F444" s="9">
        <f>Source!AU327</f>
        <v>10</v>
      </c>
      <c r="G444" s="22"/>
      <c r="H444" s="21"/>
      <c r="I444" s="9"/>
      <c r="J444" s="9"/>
      <c r="K444" s="22">
        <f>SUM(T438:T443)</f>
        <v>259.35000000000002</v>
      </c>
      <c r="L444" s="22"/>
    </row>
    <row r="445" spans="1:22" ht="14.25" x14ac:dyDescent="0.2">
      <c r="A445" s="19"/>
      <c r="B445" s="19"/>
      <c r="C445" s="19"/>
      <c r="D445" s="19" t="s">
        <v>504</v>
      </c>
      <c r="E445" s="20" t="s">
        <v>505</v>
      </c>
      <c r="F445" s="9">
        <f>Source!AQ327</f>
        <v>0.14000000000000001</v>
      </c>
      <c r="G445" s="22"/>
      <c r="H445" s="21" t="str">
        <f>Source!DI327</f>
        <v/>
      </c>
      <c r="I445" s="9">
        <f>Source!AV327</f>
        <v>1</v>
      </c>
      <c r="J445" s="9"/>
      <c r="K445" s="22"/>
      <c r="L445" s="22">
        <f>Source!U327</f>
        <v>4.2</v>
      </c>
    </row>
    <row r="446" spans="1:22" ht="15" x14ac:dyDescent="0.25">
      <c r="A446" s="25"/>
      <c r="B446" s="25"/>
      <c r="C446" s="25"/>
      <c r="D446" s="25"/>
      <c r="E446" s="25"/>
      <c r="F446" s="25"/>
      <c r="G446" s="25"/>
      <c r="H446" s="25"/>
      <c r="I446" s="25"/>
      <c r="J446" s="52">
        <f>K440+K441+K442+K443+K444</f>
        <v>4741.2000000000007</v>
      </c>
      <c r="K446" s="52"/>
      <c r="L446" s="26">
        <f>IF(Source!I327&lt;&gt;0, ROUND(J446/Source!I327, 2), 0)</f>
        <v>158.04</v>
      </c>
      <c r="P446" s="24">
        <f>J446</f>
        <v>4741.2000000000007</v>
      </c>
    </row>
    <row r="448" spans="1:22" ht="15" x14ac:dyDescent="0.25">
      <c r="A448" s="54" t="str">
        <f>CONCATENATE("Итого по подразделу: ",IF(Source!G330&lt;&gt;"Новый подраздел", Source!G330, ""))</f>
        <v>Итого по подразделу: Отопление</v>
      </c>
      <c r="B448" s="54"/>
      <c r="C448" s="54"/>
      <c r="D448" s="54"/>
      <c r="E448" s="54"/>
      <c r="F448" s="54"/>
      <c r="G448" s="54"/>
      <c r="H448" s="54"/>
      <c r="I448" s="54"/>
      <c r="J448" s="53">
        <f>SUM(P437:P447)</f>
        <v>4741.2000000000007</v>
      </c>
      <c r="K448" s="73"/>
      <c r="L448" s="28"/>
    </row>
    <row r="451" spans="1:22" ht="16.5" x14ac:dyDescent="0.25">
      <c r="A451" s="51" t="str">
        <f>CONCATENATE("Подраздел: ",IF(Source!G360&lt;&gt;"Новый подраздел", Source!G360, ""))</f>
        <v>Подраздел: Вентиляция и кондиционирование</v>
      </c>
      <c r="B451" s="51"/>
      <c r="C451" s="51"/>
      <c r="D451" s="51"/>
      <c r="E451" s="51"/>
      <c r="F451" s="51"/>
      <c r="G451" s="51"/>
      <c r="H451" s="51"/>
      <c r="I451" s="51"/>
      <c r="J451" s="51"/>
      <c r="K451" s="51"/>
      <c r="L451" s="51"/>
    </row>
    <row r="452" spans="1:22" ht="28.5" x14ac:dyDescent="0.2">
      <c r="A452" s="19">
        <v>42</v>
      </c>
      <c r="B452" s="19">
        <v>42</v>
      </c>
      <c r="C452" s="19" t="str">
        <f>Source!F365</f>
        <v>1.18-2303-3-2/1</v>
      </c>
      <c r="D452" s="19" t="str">
        <f>Source!G365</f>
        <v>Техническое обслуживание канального вентилятора - ежеквартальное</v>
      </c>
      <c r="E452" s="20" t="str">
        <f>Source!H365</f>
        <v>шт.</v>
      </c>
      <c r="F452" s="9">
        <f>Source!I365</f>
        <v>15</v>
      </c>
      <c r="G452" s="22"/>
      <c r="H452" s="21"/>
      <c r="I452" s="9"/>
      <c r="J452" s="9"/>
      <c r="K452" s="22"/>
      <c r="L452" s="22"/>
      <c r="Q452">
        <f>ROUND((Source!BZ365/100)*ROUND((Source!AF365*Source!AV365)*Source!I365, 2), 2)</f>
        <v>22481.13</v>
      </c>
      <c r="R452">
        <f>Source!X365</f>
        <v>22481.13</v>
      </c>
      <c r="S452">
        <f>ROUND((Source!CA365/100)*ROUND((Source!AF365*Source!AV365)*Source!I365, 2), 2)</f>
        <v>3211.59</v>
      </c>
      <c r="T452">
        <f>Source!Y365</f>
        <v>3211.59</v>
      </c>
      <c r="U452">
        <f>ROUND((175/100)*ROUND((Source!AE365*Source!AV365)*Source!I365, 2), 2)</f>
        <v>0</v>
      </c>
      <c r="V452">
        <f>ROUND((108/100)*ROUND(Source!CS365*Source!I365, 2), 2)</f>
        <v>0</v>
      </c>
    </row>
    <row r="453" spans="1:22" x14ac:dyDescent="0.2">
      <c r="D453" s="23" t="str">
        <f>"Объем: "&amp;Source!I365&amp;"=1*"&amp;"15"</f>
        <v>Объем: 15=1*15</v>
      </c>
    </row>
    <row r="454" spans="1:22" ht="14.25" x14ac:dyDescent="0.2">
      <c r="A454" s="19"/>
      <c r="B454" s="19"/>
      <c r="C454" s="19"/>
      <c r="D454" s="19" t="s">
        <v>500</v>
      </c>
      <c r="E454" s="20"/>
      <c r="F454" s="9"/>
      <c r="G454" s="22">
        <f>Source!AO365</f>
        <v>1070.53</v>
      </c>
      <c r="H454" s="21" t="str">
        <f>Source!DG365</f>
        <v>)*2</v>
      </c>
      <c r="I454" s="9">
        <f>Source!AV365</f>
        <v>1</v>
      </c>
      <c r="J454" s="9">
        <f>IF(Source!BA365&lt;&gt; 0, Source!BA365, 1)</f>
        <v>1</v>
      </c>
      <c r="K454" s="22">
        <f>Source!S365</f>
        <v>32115.9</v>
      </c>
      <c r="L454" s="22"/>
    </row>
    <row r="455" spans="1:22" ht="14.25" x14ac:dyDescent="0.2">
      <c r="A455" s="19"/>
      <c r="B455" s="19"/>
      <c r="C455" s="19"/>
      <c r="D455" s="19" t="s">
        <v>501</v>
      </c>
      <c r="E455" s="20" t="s">
        <v>502</v>
      </c>
      <c r="F455" s="9">
        <f>Source!AT365</f>
        <v>70</v>
      </c>
      <c r="G455" s="22"/>
      <c r="H455" s="21"/>
      <c r="I455" s="9"/>
      <c r="J455" s="9"/>
      <c r="K455" s="22">
        <f>SUM(R452:R454)</f>
        <v>22481.13</v>
      </c>
      <c r="L455" s="22"/>
    </row>
    <row r="456" spans="1:22" ht="14.25" x14ac:dyDescent="0.2">
      <c r="A456" s="19"/>
      <c r="B456" s="19"/>
      <c r="C456" s="19"/>
      <c r="D456" s="19" t="s">
        <v>503</v>
      </c>
      <c r="E456" s="20" t="s">
        <v>502</v>
      </c>
      <c r="F456" s="9">
        <f>Source!AU365</f>
        <v>10</v>
      </c>
      <c r="G456" s="22"/>
      <c r="H456" s="21"/>
      <c r="I456" s="9"/>
      <c r="J456" s="9"/>
      <c r="K456" s="22">
        <f>SUM(T452:T455)</f>
        <v>3211.59</v>
      </c>
      <c r="L456" s="22"/>
    </row>
    <row r="457" spans="1:22" ht="14.25" x14ac:dyDescent="0.2">
      <c r="A457" s="19"/>
      <c r="B457" s="19"/>
      <c r="C457" s="19"/>
      <c r="D457" s="19" t="s">
        <v>504</v>
      </c>
      <c r="E457" s="20" t="s">
        <v>505</v>
      </c>
      <c r="F457" s="9">
        <f>Source!AQ365</f>
        <v>1.76</v>
      </c>
      <c r="G457" s="22"/>
      <c r="H457" s="21" t="str">
        <f>Source!DI365</f>
        <v>)*2</v>
      </c>
      <c r="I457" s="9">
        <f>Source!AV365</f>
        <v>1</v>
      </c>
      <c r="J457" s="9"/>
      <c r="K457" s="22"/>
      <c r="L457" s="22">
        <f>Source!U365</f>
        <v>52.8</v>
      </c>
    </row>
    <row r="458" spans="1:22" ht="15" x14ac:dyDescent="0.25">
      <c r="A458" s="25"/>
      <c r="B458" s="25"/>
      <c r="C458" s="25"/>
      <c r="D458" s="25"/>
      <c r="E458" s="25"/>
      <c r="F458" s="25"/>
      <c r="G458" s="25"/>
      <c r="H458" s="25"/>
      <c r="I458" s="25"/>
      <c r="J458" s="52">
        <f>K454+K455+K456</f>
        <v>57808.619999999995</v>
      </c>
      <c r="K458" s="52"/>
      <c r="L458" s="26">
        <f>IF(Source!I365&lt;&gt;0, ROUND(J458/Source!I365, 2), 0)</f>
        <v>3853.91</v>
      </c>
      <c r="P458" s="24">
        <f>J458</f>
        <v>57808.619999999995</v>
      </c>
    </row>
    <row r="459" spans="1:22" ht="42.75" x14ac:dyDescent="0.2">
      <c r="A459" s="19">
        <v>43</v>
      </c>
      <c r="B459" s="19">
        <v>43</v>
      </c>
      <c r="C459" s="19" t="str">
        <f>Source!F367</f>
        <v>1.18-2403-19-5/1</v>
      </c>
      <c r="D459" s="19" t="str">
        <f>Source!G367</f>
        <v>Техническое обслуживание внутренних настенных блоков сплит систем мощностью до 7 кВт - полугодовое</v>
      </c>
      <c r="E459" s="20" t="str">
        <f>Source!H367</f>
        <v>1 блок</v>
      </c>
      <c r="F459" s="9">
        <f>Source!I367</f>
        <v>15</v>
      </c>
      <c r="G459" s="22"/>
      <c r="H459" s="21"/>
      <c r="I459" s="9"/>
      <c r="J459" s="9"/>
      <c r="K459" s="22"/>
      <c r="L459" s="22"/>
      <c r="Q459">
        <f>ROUND((Source!BZ367/100)*ROUND((Source!AF367*Source!AV367)*Source!I367, 2), 2)</f>
        <v>9893.94</v>
      </c>
      <c r="R459">
        <f>Source!X367</f>
        <v>9893.94</v>
      </c>
      <c r="S459">
        <f>ROUND((Source!CA367/100)*ROUND((Source!AF367*Source!AV367)*Source!I367, 2), 2)</f>
        <v>1413.42</v>
      </c>
      <c r="T459">
        <f>Source!Y367</f>
        <v>1413.42</v>
      </c>
      <c r="U459">
        <f>ROUND((175/100)*ROUND((Source!AE367*Source!AV367)*Source!I367, 2), 2)</f>
        <v>0.53</v>
      </c>
      <c r="V459">
        <f>ROUND((108/100)*ROUND(Source!CS367*Source!I367, 2), 2)</f>
        <v>0.32</v>
      </c>
    </row>
    <row r="460" spans="1:22" x14ac:dyDescent="0.2">
      <c r="D460" s="23" t="str">
        <f>"Объем: "&amp;Source!I367&amp;"=1*"&amp;"15"</f>
        <v>Объем: 15=1*15</v>
      </c>
    </row>
    <row r="461" spans="1:22" ht="14.25" x14ac:dyDescent="0.2">
      <c r="A461" s="19"/>
      <c r="B461" s="19"/>
      <c r="C461" s="19"/>
      <c r="D461" s="19" t="s">
        <v>500</v>
      </c>
      <c r="E461" s="20"/>
      <c r="F461" s="9"/>
      <c r="G461" s="22">
        <f>Source!AO367</f>
        <v>942.28</v>
      </c>
      <c r="H461" s="21" t="str">
        <f>Source!DG367</f>
        <v/>
      </c>
      <c r="I461" s="9">
        <f>Source!AV367</f>
        <v>1</v>
      </c>
      <c r="J461" s="9">
        <f>IF(Source!BA367&lt;&gt; 0, Source!BA367, 1)</f>
        <v>1</v>
      </c>
      <c r="K461" s="22">
        <f>Source!S367</f>
        <v>14134.2</v>
      </c>
      <c r="L461" s="22"/>
    </row>
    <row r="462" spans="1:22" ht="14.25" x14ac:dyDescent="0.2">
      <c r="A462" s="19"/>
      <c r="B462" s="19"/>
      <c r="C462" s="19"/>
      <c r="D462" s="19" t="s">
        <v>506</v>
      </c>
      <c r="E462" s="20"/>
      <c r="F462" s="9"/>
      <c r="G462" s="22">
        <f>Source!AM367</f>
        <v>1.79</v>
      </c>
      <c r="H462" s="21" t="str">
        <f>Source!DE367</f>
        <v/>
      </c>
      <c r="I462" s="9">
        <f>Source!AV367</f>
        <v>1</v>
      </c>
      <c r="J462" s="9">
        <f>IF(Source!BB367&lt;&gt; 0, Source!BB367, 1)</f>
        <v>1</v>
      </c>
      <c r="K462" s="22">
        <f>Source!Q367</f>
        <v>26.85</v>
      </c>
      <c r="L462" s="22"/>
    </row>
    <row r="463" spans="1:22" ht="14.25" x14ac:dyDescent="0.2">
      <c r="A463" s="19"/>
      <c r="B463" s="19"/>
      <c r="C463" s="19"/>
      <c r="D463" s="19" t="s">
        <v>507</v>
      </c>
      <c r="E463" s="20"/>
      <c r="F463" s="9"/>
      <c r="G463" s="22">
        <f>Source!AN367</f>
        <v>0.02</v>
      </c>
      <c r="H463" s="21" t="str">
        <f>Source!DF367</f>
        <v/>
      </c>
      <c r="I463" s="9">
        <f>Source!AV367</f>
        <v>1</v>
      </c>
      <c r="J463" s="9">
        <f>IF(Source!BS367&lt;&gt; 0, Source!BS367, 1)</f>
        <v>1</v>
      </c>
      <c r="K463" s="27">
        <f>Source!R367</f>
        <v>0.3</v>
      </c>
      <c r="L463" s="22"/>
    </row>
    <row r="464" spans="1:22" ht="14.25" x14ac:dyDescent="0.2">
      <c r="A464" s="19"/>
      <c r="B464" s="19"/>
      <c r="C464" s="19"/>
      <c r="D464" s="19" t="s">
        <v>508</v>
      </c>
      <c r="E464" s="20"/>
      <c r="F464" s="9"/>
      <c r="G464" s="22">
        <f>Source!AL367</f>
        <v>0.74</v>
      </c>
      <c r="H464" s="21" t="str">
        <f>Source!DD367</f>
        <v/>
      </c>
      <c r="I464" s="9">
        <f>Source!AW367</f>
        <v>1</v>
      </c>
      <c r="J464" s="9">
        <f>IF(Source!BC367&lt;&gt; 0, Source!BC367, 1)</f>
        <v>1</v>
      </c>
      <c r="K464" s="22">
        <f>Source!P367</f>
        <v>11.1</v>
      </c>
      <c r="L464" s="22"/>
    </row>
    <row r="465" spans="1:22" ht="14.25" x14ac:dyDescent="0.2">
      <c r="A465" s="19"/>
      <c r="B465" s="19"/>
      <c r="C465" s="19"/>
      <c r="D465" s="19" t="s">
        <v>501</v>
      </c>
      <c r="E465" s="20" t="s">
        <v>502</v>
      </c>
      <c r="F465" s="9">
        <f>Source!AT367</f>
        <v>70</v>
      </c>
      <c r="G465" s="22"/>
      <c r="H465" s="21"/>
      <c r="I465" s="9"/>
      <c r="J465" s="9"/>
      <c r="K465" s="22">
        <f>SUM(R459:R464)</f>
        <v>9893.94</v>
      </c>
      <c r="L465" s="22"/>
    </row>
    <row r="466" spans="1:22" ht="14.25" x14ac:dyDescent="0.2">
      <c r="A466" s="19"/>
      <c r="B466" s="19"/>
      <c r="C466" s="19"/>
      <c r="D466" s="19" t="s">
        <v>503</v>
      </c>
      <c r="E466" s="20" t="s">
        <v>502</v>
      </c>
      <c r="F466" s="9">
        <f>Source!AU367</f>
        <v>10</v>
      </c>
      <c r="G466" s="22"/>
      <c r="H466" s="21"/>
      <c r="I466" s="9"/>
      <c r="J466" s="9"/>
      <c r="K466" s="22">
        <f>SUM(T459:T465)</f>
        <v>1413.42</v>
      </c>
      <c r="L466" s="22"/>
    </row>
    <row r="467" spans="1:22" ht="14.25" x14ac:dyDescent="0.2">
      <c r="A467" s="19"/>
      <c r="B467" s="19"/>
      <c r="C467" s="19"/>
      <c r="D467" s="19" t="s">
        <v>509</v>
      </c>
      <c r="E467" s="20" t="s">
        <v>502</v>
      </c>
      <c r="F467" s="9">
        <f>108</f>
        <v>108</v>
      </c>
      <c r="G467" s="22"/>
      <c r="H467" s="21"/>
      <c r="I467" s="9"/>
      <c r="J467" s="9"/>
      <c r="K467" s="22">
        <f>SUM(V459:V466)</f>
        <v>0.32</v>
      </c>
      <c r="L467" s="22"/>
    </row>
    <row r="468" spans="1:22" ht="14.25" x14ac:dyDescent="0.2">
      <c r="A468" s="19"/>
      <c r="B468" s="19"/>
      <c r="C468" s="19"/>
      <c r="D468" s="19" t="s">
        <v>504</v>
      </c>
      <c r="E468" s="20" t="s">
        <v>505</v>
      </c>
      <c r="F468" s="9">
        <f>Source!AQ367</f>
        <v>1.42</v>
      </c>
      <c r="G468" s="22"/>
      <c r="H468" s="21" t="str">
        <f>Source!DI367</f>
        <v/>
      </c>
      <c r="I468" s="9">
        <f>Source!AV367</f>
        <v>1</v>
      </c>
      <c r="J468" s="9"/>
      <c r="K468" s="22"/>
      <c r="L468" s="22">
        <f>Source!U367</f>
        <v>21.299999999999997</v>
      </c>
    </row>
    <row r="469" spans="1:22" ht="15" x14ac:dyDescent="0.25">
      <c r="A469" s="25"/>
      <c r="B469" s="25"/>
      <c r="C469" s="25"/>
      <c r="D469" s="25"/>
      <c r="E469" s="25"/>
      <c r="F469" s="25"/>
      <c r="G469" s="25"/>
      <c r="H469" s="25"/>
      <c r="I469" s="25"/>
      <c r="J469" s="52">
        <f>K461+K462+K464+K465+K466+K467</f>
        <v>25479.83</v>
      </c>
      <c r="K469" s="52"/>
      <c r="L469" s="26">
        <f>IF(Source!I367&lt;&gt;0, ROUND(J469/Source!I367, 2), 0)</f>
        <v>1698.66</v>
      </c>
      <c r="P469" s="24">
        <f>J469</f>
        <v>25479.83</v>
      </c>
    </row>
    <row r="470" spans="1:22" ht="42.75" x14ac:dyDescent="0.2">
      <c r="A470" s="19">
        <v>44</v>
      </c>
      <c r="B470" s="19">
        <v>44</v>
      </c>
      <c r="C470" s="19" t="str">
        <f>Source!F369</f>
        <v>1.18-2403-18-3/1</v>
      </c>
      <c r="D470" s="19" t="str">
        <f>Source!G369</f>
        <v>Техническое обслуживание наружных блоков сплит систем мощностью до 10 кВт - полугодовое</v>
      </c>
      <c r="E470" s="20" t="str">
        <f>Source!H369</f>
        <v>1 блок</v>
      </c>
      <c r="F470" s="9">
        <f>Source!I369</f>
        <v>15</v>
      </c>
      <c r="G470" s="22"/>
      <c r="H470" s="21"/>
      <c r="I470" s="9"/>
      <c r="J470" s="9"/>
      <c r="K470" s="22"/>
      <c r="L470" s="22"/>
      <c r="Q470">
        <f>ROUND((Source!BZ369/100)*ROUND((Source!AF369*Source!AV369)*Source!I369, 2), 2)</f>
        <v>17279.54</v>
      </c>
      <c r="R470">
        <f>Source!X369</f>
        <v>17279.54</v>
      </c>
      <c r="S470">
        <f>ROUND((Source!CA369/100)*ROUND((Source!AF369*Source!AV369)*Source!I369, 2), 2)</f>
        <v>2468.5100000000002</v>
      </c>
      <c r="T470">
        <f>Source!Y369</f>
        <v>2468.5100000000002</v>
      </c>
      <c r="U470">
        <f>ROUND((175/100)*ROUND((Source!AE369*Source!AV369)*Source!I369, 2), 2)</f>
        <v>1.31</v>
      </c>
      <c r="V470">
        <f>ROUND((108/100)*ROUND(Source!CS369*Source!I369, 2), 2)</f>
        <v>0.81</v>
      </c>
    </row>
    <row r="471" spans="1:22" x14ac:dyDescent="0.2">
      <c r="D471" s="23" t="str">
        <f>"Объем: "&amp;Source!I369&amp;"=1*"&amp;"15"</f>
        <v>Объем: 15=1*15</v>
      </c>
    </row>
    <row r="472" spans="1:22" ht="14.25" x14ac:dyDescent="0.2">
      <c r="A472" s="19"/>
      <c r="B472" s="19"/>
      <c r="C472" s="19"/>
      <c r="D472" s="19" t="s">
        <v>500</v>
      </c>
      <c r="E472" s="20"/>
      <c r="F472" s="9"/>
      <c r="G472" s="22">
        <f>Source!AO369</f>
        <v>1645.67</v>
      </c>
      <c r="H472" s="21" t="str">
        <f>Source!DG369</f>
        <v/>
      </c>
      <c r="I472" s="9">
        <f>Source!AV369</f>
        <v>1</v>
      </c>
      <c r="J472" s="9">
        <f>IF(Source!BA369&lt;&gt; 0, Source!BA369, 1)</f>
        <v>1</v>
      </c>
      <c r="K472" s="22">
        <f>Source!S369</f>
        <v>24685.05</v>
      </c>
      <c r="L472" s="22"/>
    </row>
    <row r="473" spans="1:22" ht="14.25" x14ac:dyDescent="0.2">
      <c r="A473" s="19"/>
      <c r="B473" s="19"/>
      <c r="C473" s="19"/>
      <c r="D473" s="19" t="s">
        <v>506</v>
      </c>
      <c r="E473" s="20"/>
      <c r="F473" s="9"/>
      <c r="G473" s="22">
        <f>Source!AM369</f>
        <v>3.49</v>
      </c>
      <c r="H473" s="21" t="str">
        <f>Source!DE369</f>
        <v/>
      </c>
      <c r="I473" s="9">
        <f>Source!AV369</f>
        <v>1</v>
      </c>
      <c r="J473" s="9">
        <f>IF(Source!BB369&lt;&gt; 0, Source!BB369, 1)</f>
        <v>1</v>
      </c>
      <c r="K473" s="22">
        <f>Source!Q369</f>
        <v>52.35</v>
      </c>
      <c r="L473" s="22"/>
    </row>
    <row r="474" spans="1:22" ht="14.25" x14ac:dyDescent="0.2">
      <c r="A474" s="19"/>
      <c r="B474" s="19"/>
      <c r="C474" s="19"/>
      <c r="D474" s="19" t="s">
        <v>507</v>
      </c>
      <c r="E474" s="20"/>
      <c r="F474" s="9"/>
      <c r="G474" s="22">
        <f>Source!AN369</f>
        <v>0.05</v>
      </c>
      <c r="H474" s="21" t="str">
        <f>Source!DF369</f>
        <v/>
      </c>
      <c r="I474" s="9">
        <f>Source!AV369</f>
        <v>1</v>
      </c>
      <c r="J474" s="9">
        <f>IF(Source!BS369&lt;&gt; 0, Source!BS369, 1)</f>
        <v>1</v>
      </c>
      <c r="K474" s="27">
        <f>Source!R369</f>
        <v>0.75</v>
      </c>
      <c r="L474" s="22"/>
    </row>
    <row r="475" spans="1:22" ht="14.25" x14ac:dyDescent="0.2">
      <c r="A475" s="19"/>
      <c r="B475" s="19"/>
      <c r="C475" s="19"/>
      <c r="D475" s="19" t="s">
        <v>508</v>
      </c>
      <c r="E475" s="20"/>
      <c r="F475" s="9"/>
      <c r="G475" s="22">
        <f>Source!AL369</f>
        <v>0.94</v>
      </c>
      <c r="H475" s="21" t="str">
        <f>Source!DD369</f>
        <v/>
      </c>
      <c r="I475" s="9">
        <f>Source!AW369</f>
        <v>1</v>
      </c>
      <c r="J475" s="9">
        <f>IF(Source!BC369&lt;&gt; 0, Source!BC369, 1)</f>
        <v>1</v>
      </c>
      <c r="K475" s="22">
        <f>Source!P369</f>
        <v>14.1</v>
      </c>
      <c r="L475" s="22"/>
    </row>
    <row r="476" spans="1:22" ht="14.25" x14ac:dyDescent="0.2">
      <c r="A476" s="19"/>
      <c r="B476" s="19"/>
      <c r="C476" s="19"/>
      <c r="D476" s="19" t="s">
        <v>501</v>
      </c>
      <c r="E476" s="20" t="s">
        <v>502</v>
      </c>
      <c r="F476" s="9">
        <f>Source!AT369</f>
        <v>70</v>
      </c>
      <c r="G476" s="22"/>
      <c r="H476" s="21"/>
      <c r="I476" s="9"/>
      <c r="J476" s="9"/>
      <c r="K476" s="22">
        <f>SUM(R470:R475)</f>
        <v>17279.54</v>
      </c>
      <c r="L476" s="22"/>
    </row>
    <row r="477" spans="1:22" ht="14.25" x14ac:dyDescent="0.2">
      <c r="A477" s="19"/>
      <c r="B477" s="19"/>
      <c r="C477" s="19"/>
      <c r="D477" s="19" t="s">
        <v>503</v>
      </c>
      <c r="E477" s="20" t="s">
        <v>502</v>
      </c>
      <c r="F477" s="9">
        <f>Source!AU369</f>
        <v>10</v>
      </c>
      <c r="G477" s="22"/>
      <c r="H477" s="21"/>
      <c r="I477" s="9"/>
      <c r="J477" s="9"/>
      <c r="K477" s="22">
        <f>SUM(T470:T476)</f>
        <v>2468.5100000000002</v>
      </c>
      <c r="L477" s="22"/>
    </row>
    <row r="478" spans="1:22" ht="14.25" x14ac:dyDescent="0.2">
      <c r="A478" s="19"/>
      <c r="B478" s="19"/>
      <c r="C478" s="19"/>
      <c r="D478" s="19" t="s">
        <v>509</v>
      </c>
      <c r="E478" s="20" t="s">
        <v>502</v>
      </c>
      <c r="F478" s="9">
        <f>108</f>
        <v>108</v>
      </c>
      <c r="G478" s="22"/>
      <c r="H478" s="21"/>
      <c r="I478" s="9"/>
      <c r="J478" s="9"/>
      <c r="K478" s="22">
        <f>SUM(V470:V477)</f>
        <v>0.81</v>
      </c>
      <c r="L478" s="22"/>
    </row>
    <row r="479" spans="1:22" ht="14.25" x14ac:dyDescent="0.2">
      <c r="A479" s="19"/>
      <c r="B479" s="19"/>
      <c r="C479" s="19"/>
      <c r="D479" s="19" t="s">
        <v>504</v>
      </c>
      <c r="E479" s="20" t="s">
        <v>505</v>
      </c>
      <c r="F479" s="9">
        <f>Source!AQ369</f>
        <v>2.48</v>
      </c>
      <c r="G479" s="22"/>
      <c r="H479" s="21" t="str">
        <f>Source!DI369</f>
        <v/>
      </c>
      <c r="I479" s="9">
        <f>Source!AV369</f>
        <v>1</v>
      </c>
      <c r="J479" s="9"/>
      <c r="K479" s="22"/>
      <c r="L479" s="22">
        <f>Source!U369</f>
        <v>37.200000000000003</v>
      </c>
    </row>
    <row r="480" spans="1:22" ht="15" x14ac:dyDescent="0.25">
      <c r="A480" s="25"/>
      <c r="B480" s="25"/>
      <c r="C480" s="25"/>
      <c r="D480" s="25"/>
      <c r="E480" s="25"/>
      <c r="F480" s="25"/>
      <c r="G480" s="25"/>
      <c r="H480" s="25"/>
      <c r="I480" s="25"/>
      <c r="J480" s="52">
        <f>K472+K473+K475+K476+K477+K478</f>
        <v>44500.359999999993</v>
      </c>
      <c r="K480" s="52"/>
      <c r="L480" s="26">
        <f>IF(Source!I369&lt;&gt;0, ROUND(J480/Source!I369, 2), 0)</f>
        <v>2966.69</v>
      </c>
      <c r="P480" s="24">
        <f>J480</f>
        <v>44500.359999999993</v>
      </c>
    </row>
    <row r="482" spans="1:22" ht="15" x14ac:dyDescent="0.25">
      <c r="A482" s="54" t="str">
        <f>CONCATENATE("Итого по подразделу: ",IF(Source!G374&lt;&gt;"Новый подраздел", Source!G374, ""))</f>
        <v>Итого по подразделу: Вентиляция и кондиционирование</v>
      </c>
      <c r="B482" s="54"/>
      <c r="C482" s="54"/>
      <c r="D482" s="54"/>
      <c r="E482" s="54"/>
      <c r="F482" s="54"/>
      <c r="G482" s="54"/>
      <c r="H482" s="54"/>
      <c r="I482" s="54"/>
      <c r="J482" s="53">
        <f>SUM(P451:P481)</f>
        <v>127788.81</v>
      </c>
      <c r="K482" s="73"/>
      <c r="L482" s="28"/>
    </row>
    <row r="485" spans="1:22" ht="16.5" x14ac:dyDescent="0.25">
      <c r="A485" s="51" t="str">
        <f>CONCATENATE("Подраздел: ",IF(Source!G404&lt;&gt;"Новый подраздел", Source!G404, ""))</f>
        <v>Подраздел: Система электроснабжения</v>
      </c>
      <c r="B485" s="51"/>
      <c r="C485" s="51"/>
      <c r="D485" s="51"/>
      <c r="E485" s="51"/>
      <c r="F485" s="51"/>
      <c r="G485" s="51"/>
      <c r="H485" s="51"/>
      <c r="I485" s="51"/>
      <c r="J485" s="51"/>
      <c r="K485" s="51"/>
      <c r="L485" s="51"/>
    </row>
    <row r="487" spans="1:22" ht="15" x14ac:dyDescent="0.25">
      <c r="C487" s="55" t="str">
        <f>Source!G408</f>
        <v>Щитовое оборудование:</v>
      </c>
      <c r="D487" s="55"/>
      <c r="E487" s="55"/>
      <c r="F487" s="55"/>
      <c r="G487" s="55"/>
      <c r="H487" s="55"/>
      <c r="I487" s="55"/>
      <c r="J487" s="55"/>
      <c r="K487" s="55"/>
    </row>
    <row r="488" spans="1:22" ht="71.25" x14ac:dyDescent="0.2">
      <c r="A488" s="19">
        <v>45</v>
      </c>
      <c r="B488" s="19">
        <v>45</v>
      </c>
      <c r="C488" s="19" t="str">
        <f>Source!F409</f>
        <v>1.21-2203-2-5/1</v>
      </c>
      <c r="D488" s="19" t="str">
        <f>Source!G409</f>
        <v>Техническое обслуживание силового распределительного пункта с установочными автоматами, число групп 12 /( Распределительный щит навесной, 36 модулей, IP54 )</v>
      </c>
      <c r="E488" s="20" t="str">
        <f>Source!H409</f>
        <v>шт.</v>
      </c>
      <c r="F488" s="9">
        <f>Source!I409</f>
        <v>15</v>
      </c>
      <c r="G488" s="22"/>
      <c r="H488" s="21"/>
      <c r="I488" s="9"/>
      <c r="J488" s="9"/>
      <c r="K488" s="22"/>
      <c r="L488" s="22"/>
      <c r="Q488">
        <f>ROUND((Source!BZ409/100)*ROUND((Source!AF409*Source!AV409)*Source!I409, 2), 2)</f>
        <v>155607.48000000001</v>
      </c>
      <c r="R488">
        <f>Source!X409</f>
        <v>155607.48000000001</v>
      </c>
      <c r="S488">
        <f>ROUND((Source!CA409/100)*ROUND((Source!AF409*Source!AV409)*Source!I409, 2), 2)</f>
        <v>22229.64</v>
      </c>
      <c r="T488">
        <f>Source!Y409</f>
        <v>22229.64</v>
      </c>
      <c r="U488">
        <f>ROUND((175/100)*ROUND((Source!AE409*Source!AV409)*Source!I409, 2), 2)</f>
        <v>0</v>
      </c>
      <c r="V488">
        <f>ROUND((108/100)*ROUND(Source!CS409*Source!I409, 2), 2)</f>
        <v>0</v>
      </c>
    </row>
    <row r="489" spans="1:22" ht="14.25" x14ac:dyDescent="0.2">
      <c r="A489" s="19"/>
      <c r="B489" s="19"/>
      <c r="C489" s="19"/>
      <c r="D489" s="19" t="s">
        <v>500</v>
      </c>
      <c r="E489" s="20"/>
      <c r="F489" s="9"/>
      <c r="G489" s="22">
        <f>Source!AO409</f>
        <v>14819.76</v>
      </c>
      <c r="H489" s="21" t="str">
        <f>Source!DG409</f>
        <v/>
      </c>
      <c r="I489" s="9">
        <f>Source!AV409</f>
        <v>1</v>
      </c>
      <c r="J489" s="9">
        <f>IF(Source!BA409&lt;&gt; 0, Source!BA409, 1)</f>
        <v>1</v>
      </c>
      <c r="K489" s="22">
        <f>Source!S409</f>
        <v>222296.4</v>
      </c>
      <c r="L489" s="22"/>
    </row>
    <row r="490" spans="1:22" ht="14.25" x14ac:dyDescent="0.2">
      <c r="A490" s="19"/>
      <c r="B490" s="19"/>
      <c r="C490" s="19"/>
      <c r="D490" s="19" t="s">
        <v>508</v>
      </c>
      <c r="E490" s="20"/>
      <c r="F490" s="9"/>
      <c r="G490" s="22">
        <f>Source!AL409</f>
        <v>205.53</v>
      </c>
      <c r="H490" s="21" t="str">
        <f>Source!DD409</f>
        <v/>
      </c>
      <c r="I490" s="9">
        <f>Source!AW409</f>
        <v>1</v>
      </c>
      <c r="J490" s="9">
        <f>IF(Source!BC409&lt;&gt; 0, Source!BC409, 1)</f>
        <v>1</v>
      </c>
      <c r="K490" s="22">
        <f>Source!P409</f>
        <v>3082.95</v>
      </c>
      <c r="L490" s="22"/>
    </row>
    <row r="491" spans="1:22" ht="14.25" x14ac:dyDescent="0.2">
      <c r="A491" s="19"/>
      <c r="B491" s="19"/>
      <c r="C491" s="19"/>
      <c r="D491" s="19" t="s">
        <v>501</v>
      </c>
      <c r="E491" s="20" t="s">
        <v>502</v>
      </c>
      <c r="F491" s="9">
        <f>Source!AT409</f>
        <v>70</v>
      </c>
      <c r="G491" s="22"/>
      <c r="H491" s="21"/>
      <c r="I491" s="9"/>
      <c r="J491" s="9"/>
      <c r="K491" s="22">
        <f>SUM(R488:R490)</f>
        <v>155607.48000000001</v>
      </c>
      <c r="L491" s="22"/>
    </row>
    <row r="492" spans="1:22" ht="14.25" x14ac:dyDescent="0.2">
      <c r="A492" s="19"/>
      <c r="B492" s="19"/>
      <c r="C492" s="19"/>
      <c r="D492" s="19" t="s">
        <v>503</v>
      </c>
      <c r="E492" s="20" t="s">
        <v>502</v>
      </c>
      <c r="F492" s="9">
        <f>Source!AU409</f>
        <v>10</v>
      </c>
      <c r="G492" s="22"/>
      <c r="H492" s="21"/>
      <c r="I492" s="9"/>
      <c r="J492" s="9"/>
      <c r="K492" s="22">
        <f>SUM(T488:T491)</f>
        <v>22229.64</v>
      </c>
      <c r="L492" s="22"/>
    </row>
    <row r="493" spans="1:22" ht="14.25" x14ac:dyDescent="0.2">
      <c r="A493" s="19"/>
      <c r="B493" s="19"/>
      <c r="C493" s="19"/>
      <c r="D493" s="19" t="s">
        <v>504</v>
      </c>
      <c r="E493" s="20" t="s">
        <v>505</v>
      </c>
      <c r="F493" s="9">
        <f>Source!AQ409</f>
        <v>24</v>
      </c>
      <c r="G493" s="22"/>
      <c r="H493" s="21" t="str">
        <f>Source!DI409</f>
        <v/>
      </c>
      <c r="I493" s="9">
        <f>Source!AV409</f>
        <v>1</v>
      </c>
      <c r="J493" s="9"/>
      <c r="K493" s="22"/>
      <c r="L493" s="22">
        <f>Source!U409</f>
        <v>360</v>
      </c>
    </row>
    <row r="494" spans="1:22" ht="15" x14ac:dyDescent="0.25">
      <c r="A494" s="25"/>
      <c r="B494" s="25"/>
      <c r="C494" s="25"/>
      <c r="D494" s="25"/>
      <c r="E494" s="25"/>
      <c r="F494" s="25"/>
      <c r="G494" s="25"/>
      <c r="H494" s="25"/>
      <c r="I494" s="25"/>
      <c r="J494" s="52">
        <f>K489+K490+K491+K492</f>
        <v>403216.47000000003</v>
      </c>
      <c r="K494" s="52"/>
      <c r="L494" s="26">
        <f>IF(Source!I409&lt;&gt;0, ROUND(J494/Source!I409, 2), 0)</f>
        <v>26881.1</v>
      </c>
      <c r="P494" s="24">
        <f>J494</f>
        <v>403216.47000000003</v>
      </c>
    </row>
    <row r="495" spans="1:22" ht="57" x14ac:dyDescent="0.2">
      <c r="A495" s="19">
        <v>46</v>
      </c>
      <c r="B495" s="19">
        <v>46</v>
      </c>
      <c r="C495" s="19" t="str">
        <f>Source!F412</f>
        <v>1.21-2303-3-1/1</v>
      </c>
      <c r="D495" s="19" t="str">
        <f>Source!G412</f>
        <v>Техническое обслуживание выключателей автоматических трехполюсных установочных, номинальный ток до 200 А /  3р, Iн= 25А</v>
      </c>
      <c r="E495" s="20" t="str">
        <f>Source!H412</f>
        <v>шт.</v>
      </c>
      <c r="F495" s="9">
        <f>Source!I412</f>
        <v>15</v>
      </c>
      <c r="G495" s="22"/>
      <c r="H495" s="21"/>
      <c r="I495" s="9"/>
      <c r="J495" s="9"/>
      <c r="K495" s="22"/>
      <c r="L495" s="22"/>
      <c r="Q495">
        <f>ROUND((Source!BZ412/100)*ROUND((Source!AF412*Source!AV412)*Source!I412, 2), 2)</f>
        <v>9725.42</v>
      </c>
      <c r="R495">
        <f>Source!X412</f>
        <v>9725.42</v>
      </c>
      <c r="S495">
        <f>ROUND((Source!CA412/100)*ROUND((Source!AF412*Source!AV412)*Source!I412, 2), 2)</f>
        <v>1389.35</v>
      </c>
      <c r="T495">
        <f>Source!Y412</f>
        <v>1389.35</v>
      </c>
      <c r="U495">
        <f>ROUND((175/100)*ROUND((Source!AE412*Source!AV412)*Source!I412, 2), 2)</f>
        <v>0</v>
      </c>
      <c r="V495">
        <f>ROUND((108/100)*ROUND(Source!CS412*Source!I412, 2), 2)</f>
        <v>0</v>
      </c>
    </row>
    <row r="496" spans="1:22" x14ac:dyDescent="0.2">
      <c r="D496" s="23" t="str">
        <f>"Объем: "&amp;Source!I412&amp;"=1*"&amp;"15"</f>
        <v>Объем: 15=1*15</v>
      </c>
    </row>
    <row r="497" spans="1:22" ht="14.25" x14ac:dyDescent="0.2">
      <c r="A497" s="19"/>
      <c r="B497" s="19"/>
      <c r="C497" s="19"/>
      <c r="D497" s="19" t="s">
        <v>500</v>
      </c>
      <c r="E497" s="20"/>
      <c r="F497" s="9"/>
      <c r="G497" s="22">
        <f>Source!AO412</f>
        <v>926.23</v>
      </c>
      <c r="H497" s="21" t="str">
        <f>Source!DG412</f>
        <v/>
      </c>
      <c r="I497" s="9">
        <f>Source!AV412</f>
        <v>1</v>
      </c>
      <c r="J497" s="9">
        <f>IF(Source!BA412&lt;&gt; 0, Source!BA412, 1)</f>
        <v>1</v>
      </c>
      <c r="K497" s="22">
        <f>Source!S412</f>
        <v>13893.45</v>
      </c>
      <c r="L497" s="22"/>
    </row>
    <row r="498" spans="1:22" ht="14.25" x14ac:dyDescent="0.2">
      <c r="A498" s="19"/>
      <c r="B498" s="19"/>
      <c r="C498" s="19"/>
      <c r="D498" s="19" t="s">
        <v>508</v>
      </c>
      <c r="E498" s="20"/>
      <c r="F498" s="9"/>
      <c r="G498" s="22">
        <f>Source!AL412</f>
        <v>12.39</v>
      </c>
      <c r="H498" s="21" t="str">
        <f>Source!DD412</f>
        <v/>
      </c>
      <c r="I498" s="9">
        <f>Source!AW412</f>
        <v>1</v>
      </c>
      <c r="J498" s="9">
        <f>IF(Source!BC412&lt;&gt; 0, Source!BC412, 1)</f>
        <v>1</v>
      </c>
      <c r="K498" s="22">
        <f>Source!P412</f>
        <v>185.85</v>
      </c>
      <c r="L498" s="22"/>
    </row>
    <row r="499" spans="1:22" ht="14.25" x14ac:dyDescent="0.2">
      <c r="A499" s="19"/>
      <c r="B499" s="19"/>
      <c r="C499" s="19"/>
      <c r="D499" s="19" t="s">
        <v>501</v>
      </c>
      <c r="E499" s="20" t="s">
        <v>502</v>
      </c>
      <c r="F499" s="9">
        <f>Source!AT412</f>
        <v>70</v>
      </c>
      <c r="G499" s="22"/>
      <c r="H499" s="21"/>
      <c r="I499" s="9"/>
      <c r="J499" s="9"/>
      <c r="K499" s="22">
        <f>SUM(R495:R498)</f>
        <v>9725.42</v>
      </c>
      <c r="L499" s="22"/>
    </row>
    <row r="500" spans="1:22" ht="14.25" x14ac:dyDescent="0.2">
      <c r="A500" s="19"/>
      <c r="B500" s="19"/>
      <c r="C500" s="19"/>
      <c r="D500" s="19" t="s">
        <v>503</v>
      </c>
      <c r="E500" s="20" t="s">
        <v>502</v>
      </c>
      <c r="F500" s="9">
        <f>Source!AU412</f>
        <v>10</v>
      </c>
      <c r="G500" s="22"/>
      <c r="H500" s="21"/>
      <c r="I500" s="9"/>
      <c r="J500" s="9"/>
      <c r="K500" s="22">
        <f>SUM(T495:T499)</f>
        <v>1389.35</v>
      </c>
      <c r="L500" s="22"/>
    </row>
    <row r="501" spans="1:22" ht="14.25" x14ac:dyDescent="0.2">
      <c r="A501" s="19"/>
      <c r="B501" s="19"/>
      <c r="C501" s="19"/>
      <c r="D501" s="19" t="s">
        <v>504</v>
      </c>
      <c r="E501" s="20" t="s">
        <v>505</v>
      </c>
      <c r="F501" s="9">
        <f>Source!AQ412</f>
        <v>1.5</v>
      </c>
      <c r="G501" s="22"/>
      <c r="H501" s="21" t="str">
        <f>Source!DI412</f>
        <v/>
      </c>
      <c r="I501" s="9">
        <f>Source!AV412</f>
        <v>1</v>
      </c>
      <c r="J501" s="9"/>
      <c r="K501" s="22"/>
      <c r="L501" s="22">
        <f>Source!U412</f>
        <v>22.5</v>
      </c>
    </row>
    <row r="502" spans="1:22" ht="15" x14ac:dyDescent="0.25">
      <c r="A502" s="25"/>
      <c r="B502" s="25"/>
      <c r="C502" s="25"/>
      <c r="D502" s="25"/>
      <c r="E502" s="25"/>
      <c r="F502" s="25"/>
      <c r="G502" s="25"/>
      <c r="H502" s="25"/>
      <c r="I502" s="25"/>
      <c r="J502" s="52">
        <f>K497+K498+K499+K500</f>
        <v>25194.07</v>
      </c>
      <c r="K502" s="52"/>
      <c r="L502" s="26">
        <f>IF(Source!I412&lt;&gt;0, ROUND(J502/Source!I412, 2), 0)</f>
        <v>1679.6</v>
      </c>
      <c r="P502" s="24">
        <f>J502</f>
        <v>25194.07</v>
      </c>
    </row>
    <row r="503" spans="1:22" ht="57" x14ac:dyDescent="0.2">
      <c r="A503" s="19">
        <v>47</v>
      </c>
      <c r="B503" s="19">
        <v>47</v>
      </c>
      <c r="C503" s="19" t="str">
        <f>Source!F413</f>
        <v>1.21-2303-28-1/1</v>
      </c>
      <c r="D503" s="19" t="str">
        <f>Source!G413</f>
        <v>Техническое обслуживание автоматического выключателя до 160 А / Устройство защитного отключения 4p, Iн= 40А, диф=300мА</v>
      </c>
      <c r="E503" s="20" t="str">
        <f>Source!H413</f>
        <v>шт.</v>
      </c>
      <c r="F503" s="9">
        <f>Source!I413</f>
        <v>15</v>
      </c>
      <c r="G503" s="22"/>
      <c r="H503" s="21"/>
      <c r="I503" s="9"/>
      <c r="J503" s="9"/>
      <c r="K503" s="22"/>
      <c r="L503" s="22"/>
      <c r="Q503">
        <f>ROUND((Source!BZ413/100)*ROUND((Source!AF413*Source!AV413)*Source!I413, 2), 2)</f>
        <v>4470.8999999999996</v>
      </c>
      <c r="R503">
        <f>Source!X413</f>
        <v>4470.8999999999996</v>
      </c>
      <c r="S503">
        <f>ROUND((Source!CA413/100)*ROUND((Source!AF413*Source!AV413)*Source!I413, 2), 2)</f>
        <v>638.70000000000005</v>
      </c>
      <c r="T503">
        <f>Source!Y413</f>
        <v>638.70000000000005</v>
      </c>
      <c r="U503">
        <f>ROUND((175/100)*ROUND((Source!AE413*Source!AV413)*Source!I413, 2), 2)</f>
        <v>0</v>
      </c>
      <c r="V503">
        <f>ROUND((108/100)*ROUND(Source!CS413*Source!I413, 2), 2)</f>
        <v>0</v>
      </c>
    </row>
    <row r="504" spans="1:22" x14ac:dyDescent="0.2">
      <c r="D504" s="23" t="str">
        <f>"Объем: "&amp;Source!I413&amp;"=1*"&amp;"15"</f>
        <v>Объем: 15=1*15</v>
      </c>
    </row>
    <row r="505" spans="1:22" ht="14.25" x14ac:dyDescent="0.2">
      <c r="A505" s="19"/>
      <c r="B505" s="19"/>
      <c r="C505" s="19"/>
      <c r="D505" s="19" t="s">
        <v>500</v>
      </c>
      <c r="E505" s="20"/>
      <c r="F505" s="9"/>
      <c r="G505" s="22">
        <f>Source!AO413</f>
        <v>212.9</v>
      </c>
      <c r="H505" s="21" t="str">
        <f>Source!DG413</f>
        <v>)*2</v>
      </c>
      <c r="I505" s="9">
        <f>Source!AV413</f>
        <v>1</v>
      </c>
      <c r="J505" s="9">
        <f>IF(Source!BA413&lt;&gt; 0, Source!BA413, 1)</f>
        <v>1</v>
      </c>
      <c r="K505" s="22">
        <f>Source!S413</f>
        <v>6387</v>
      </c>
      <c r="L505" s="22"/>
    </row>
    <row r="506" spans="1:22" ht="14.25" x14ac:dyDescent="0.2">
      <c r="A506" s="19"/>
      <c r="B506" s="19"/>
      <c r="C506" s="19"/>
      <c r="D506" s="19" t="s">
        <v>508</v>
      </c>
      <c r="E506" s="20"/>
      <c r="F506" s="9"/>
      <c r="G506" s="22">
        <f>Source!AL413</f>
        <v>4.53</v>
      </c>
      <c r="H506" s="21" t="str">
        <f>Source!DD413</f>
        <v>)*2</v>
      </c>
      <c r="I506" s="9">
        <f>Source!AW413</f>
        <v>1</v>
      </c>
      <c r="J506" s="9">
        <f>IF(Source!BC413&lt;&gt; 0, Source!BC413, 1)</f>
        <v>1</v>
      </c>
      <c r="K506" s="22">
        <f>Source!P413</f>
        <v>135.9</v>
      </c>
      <c r="L506" s="22"/>
    </row>
    <row r="507" spans="1:22" ht="14.25" x14ac:dyDescent="0.2">
      <c r="A507" s="19"/>
      <c r="B507" s="19"/>
      <c r="C507" s="19"/>
      <c r="D507" s="19" t="s">
        <v>501</v>
      </c>
      <c r="E507" s="20" t="s">
        <v>502</v>
      </c>
      <c r="F507" s="9">
        <f>Source!AT413</f>
        <v>70</v>
      </c>
      <c r="G507" s="22"/>
      <c r="H507" s="21"/>
      <c r="I507" s="9"/>
      <c r="J507" s="9"/>
      <c r="K507" s="22">
        <f>SUM(R503:R506)</f>
        <v>4470.8999999999996</v>
      </c>
      <c r="L507" s="22"/>
    </row>
    <row r="508" spans="1:22" ht="14.25" x14ac:dyDescent="0.2">
      <c r="A508" s="19"/>
      <c r="B508" s="19"/>
      <c r="C508" s="19"/>
      <c r="D508" s="19" t="s">
        <v>503</v>
      </c>
      <c r="E508" s="20" t="s">
        <v>502</v>
      </c>
      <c r="F508" s="9">
        <f>Source!AU413</f>
        <v>10</v>
      </c>
      <c r="G508" s="22"/>
      <c r="H508" s="21"/>
      <c r="I508" s="9"/>
      <c r="J508" s="9"/>
      <c r="K508" s="22">
        <f>SUM(T503:T507)</f>
        <v>638.70000000000005</v>
      </c>
      <c r="L508" s="22"/>
    </row>
    <row r="509" spans="1:22" ht="14.25" x14ac:dyDescent="0.2">
      <c r="A509" s="19"/>
      <c r="B509" s="19"/>
      <c r="C509" s="19"/>
      <c r="D509" s="19" t="s">
        <v>504</v>
      </c>
      <c r="E509" s="20" t="s">
        <v>505</v>
      </c>
      <c r="F509" s="9">
        <f>Source!AQ413</f>
        <v>0.3</v>
      </c>
      <c r="G509" s="22"/>
      <c r="H509" s="21" t="str">
        <f>Source!DI413</f>
        <v>)*2</v>
      </c>
      <c r="I509" s="9">
        <f>Source!AV413</f>
        <v>1</v>
      </c>
      <c r="J509" s="9"/>
      <c r="K509" s="22"/>
      <c r="L509" s="22">
        <f>Source!U413</f>
        <v>9</v>
      </c>
    </row>
    <row r="510" spans="1:22" ht="15" x14ac:dyDescent="0.25">
      <c r="A510" s="25"/>
      <c r="B510" s="25"/>
      <c r="C510" s="25"/>
      <c r="D510" s="25"/>
      <c r="E510" s="25"/>
      <c r="F510" s="25"/>
      <c r="G510" s="25"/>
      <c r="H510" s="25"/>
      <c r="I510" s="25"/>
      <c r="J510" s="52">
        <f>K505+K506+K507+K508</f>
        <v>11632.5</v>
      </c>
      <c r="K510" s="52"/>
      <c r="L510" s="26">
        <f>IF(Source!I413&lt;&gt;0, ROUND(J510/Source!I413, 2), 0)</f>
        <v>775.5</v>
      </c>
      <c r="P510" s="24">
        <f>J510</f>
        <v>11632.5</v>
      </c>
    </row>
    <row r="511" spans="1:22" ht="71.25" x14ac:dyDescent="0.2">
      <c r="A511" s="19">
        <v>48</v>
      </c>
      <c r="B511" s="19">
        <v>48</v>
      </c>
      <c r="C511" s="19" t="str">
        <f>Source!F415</f>
        <v>1.21-2303-19-1/1</v>
      </c>
      <c r="D511" s="19" t="str">
        <f>Source!G415</f>
        <v>Техническое обслуживание выключателей автоматических однополюсных установочных на номинальный ток до 63 А/             1р, Iн=10А</v>
      </c>
      <c r="E511" s="20" t="str">
        <f>Source!H415</f>
        <v>шт.</v>
      </c>
      <c r="F511" s="9">
        <f>Source!I415</f>
        <v>90</v>
      </c>
      <c r="G511" s="22"/>
      <c r="H511" s="21"/>
      <c r="I511" s="9"/>
      <c r="J511" s="9"/>
      <c r="K511" s="22"/>
      <c r="L511" s="22"/>
      <c r="Q511">
        <f>ROUND((Source!BZ415/100)*ROUND((Source!AF415*Source!AV415)*Source!I415, 2), 2)</f>
        <v>46682.37</v>
      </c>
      <c r="R511">
        <f>Source!X415</f>
        <v>46682.37</v>
      </c>
      <c r="S511">
        <f>ROUND((Source!CA415/100)*ROUND((Source!AF415*Source!AV415)*Source!I415, 2), 2)</f>
        <v>6668.91</v>
      </c>
      <c r="T511">
        <f>Source!Y415</f>
        <v>6668.91</v>
      </c>
      <c r="U511">
        <f>ROUND((175/100)*ROUND((Source!AE415*Source!AV415)*Source!I415, 2), 2)</f>
        <v>0</v>
      </c>
      <c r="V511">
        <f>ROUND((108/100)*ROUND(Source!CS415*Source!I415, 2), 2)</f>
        <v>0</v>
      </c>
    </row>
    <row r="512" spans="1:22" x14ac:dyDescent="0.2">
      <c r="D512" s="23" t="str">
        <f>"Объем: "&amp;Source!I415&amp;"=6*"&amp;"15"</f>
        <v>Объем: 90=6*15</v>
      </c>
    </row>
    <row r="513" spans="1:22" ht="14.25" x14ac:dyDescent="0.2">
      <c r="A513" s="19"/>
      <c r="B513" s="19"/>
      <c r="C513" s="19"/>
      <c r="D513" s="19" t="s">
        <v>500</v>
      </c>
      <c r="E513" s="20"/>
      <c r="F513" s="9"/>
      <c r="G513" s="22">
        <f>Source!AO415</f>
        <v>740.99</v>
      </c>
      <c r="H513" s="21" t="str">
        <f>Source!DG415</f>
        <v/>
      </c>
      <c r="I513" s="9">
        <f>Source!AV415</f>
        <v>1</v>
      </c>
      <c r="J513" s="9">
        <f>IF(Source!BA415&lt;&gt; 0, Source!BA415, 1)</f>
        <v>1</v>
      </c>
      <c r="K513" s="22">
        <f>Source!S415</f>
        <v>66689.100000000006</v>
      </c>
      <c r="L513" s="22"/>
    </row>
    <row r="514" spans="1:22" ht="14.25" x14ac:dyDescent="0.2">
      <c r="A514" s="19"/>
      <c r="B514" s="19"/>
      <c r="C514" s="19"/>
      <c r="D514" s="19" t="s">
        <v>508</v>
      </c>
      <c r="E514" s="20"/>
      <c r="F514" s="9"/>
      <c r="G514" s="22">
        <f>Source!AL415</f>
        <v>1.7</v>
      </c>
      <c r="H514" s="21" t="str">
        <f>Source!DD415</f>
        <v/>
      </c>
      <c r="I514" s="9">
        <f>Source!AW415</f>
        <v>1</v>
      </c>
      <c r="J514" s="9">
        <f>IF(Source!BC415&lt;&gt; 0, Source!BC415, 1)</f>
        <v>1</v>
      </c>
      <c r="K514" s="22">
        <f>Source!P415</f>
        <v>153</v>
      </c>
      <c r="L514" s="22"/>
    </row>
    <row r="515" spans="1:22" ht="14.25" x14ac:dyDescent="0.2">
      <c r="A515" s="19"/>
      <c r="B515" s="19"/>
      <c r="C515" s="19"/>
      <c r="D515" s="19" t="s">
        <v>501</v>
      </c>
      <c r="E515" s="20" t="s">
        <v>502</v>
      </c>
      <c r="F515" s="9">
        <f>Source!AT415</f>
        <v>70</v>
      </c>
      <c r="G515" s="22"/>
      <c r="H515" s="21"/>
      <c r="I515" s="9"/>
      <c r="J515" s="9"/>
      <c r="K515" s="22">
        <f>SUM(R511:R514)</f>
        <v>46682.37</v>
      </c>
      <c r="L515" s="22"/>
    </row>
    <row r="516" spans="1:22" ht="14.25" x14ac:dyDescent="0.2">
      <c r="A516" s="19"/>
      <c r="B516" s="19"/>
      <c r="C516" s="19"/>
      <c r="D516" s="19" t="s">
        <v>503</v>
      </c>
      <c r="E516" s="20" t="s">
        <v>502</v>
      </c>
      <c r="F516" s="9">
        <f>Source!AU415</f>
        <v>10</v>
      </c>
      <c r="G516" s="22"/>
      <c r="H516" s="21"/>
      <c r="I516" s="9"/>
      <c r="J516" s="9"/>
      <c r="K516" s="22">
        <f>SUM(T511:T515)</f>
        <v>6668.91</v>
      </c>
      <c r="L516" s="22"/>
    </row>
    <row r="517" spans="1:22" ht="14.25" x14ac:dyDescent="0.2">
      <c r="A517" s="19"/>
      <c r="B517" s="19"/>
      <c r="C517" s="19"/>
      <c r="D517" s="19" t="s">
        <v>504</v>
      </c>
      <c r="E517" s="20" t="s">
        <v>505</v>
      </c>
      <c r="F517" s="9">
        <f>Source!AQ415</f>
        <v>1.2</v>
      </c>
      <c r="G517" s="22"/>
      <c r="H517" s="21" t="str">
        <f>Source!DI415</f>
        <v/>
      </c>
      <c r="I517" s="9">
        <f>Source!AV415</f>
        <v>1</v>
      </c>
      <c r="J517" s="9"/>
      <c r="K517" s="22"/>
      <c r="L517" s="22">
        <f>Source!U415</f>
        <v>108</v>
      </c>
    </row>
    <row r="518" spans="1:22" ht="15" x14ac:dyDescent="0.25">
      <c r="A518" s="25"/>
      <c r="B518" s="25"/>
      <c r="C518" s="25"/>
      <c r="D518" s="25"/>
      <c r="E518" s="25"/>
      <c r="F518" s="25"/>
      <c r="G518" s="25"/>
      <c r="H518" s="25"/>
      <c r="I518" s="25"/>
      <c r="J518" s="52">
        <f>K513+K514+K515+K516</f>
        <v>120193.38</v>
      </c>
      <c r="K518" s="52"/>
      <c r="L518" s="26">
        <f>IF(Source!I415&lt;&gt;0, ROUND(J518/Source!I415, 2), 0)</f>
        <v>1335.48</v>
      </c>
      <c r="P518" s="24">
        <f>J518</f>
        <v>120193.38</v>
      </c>
    </row>
    <row r="519" spans="1:22" ht="71.25" x14ac:dyDescent="0.2">
      <c r="A519" s="19">
        <v>49</v>
      </c>
      <c r="B519" s="19">
        <v>49</v>
      </c>
      <c r="C519" s="19" t="str">
        <f>Source!F417</f>
        <v>1.21-2303-19-1/1</v>
      </c>
      <c r="D519" s="19" t="str">
        <f>Source!G417</f>
        <v>Техническое обслуживание выключателей автоматических однополюсных установочных на номинальный ток до 63 А/             1р, Iн=16А</v>
      </c>
      <c r="E519" s="20" t="str">
        <f>Source!H417</f>
        <v>шт.</v>
      </c>
      <c r="F519" s="9">
        <f>Source!I417</f>
        <v>90</v>
      </c>
      <c r="G519" s="22"/>
      <c r="H519" s="21"/>
      <c r="I519" s="9"/>
      <c r="J519" s="9"/>
      <c r="K519" s="22"/>
      <c r="L519" s="22"/>
      <c r="Q519">
        <f>ROUND((Source!BZ417/100)*ROUND((Source!AF417*Source!AV417)*Source!I417, 2), 2)</f>
        <v>46682.37</v>
      </c>
      <c r="R519">
        <f>Source!X417</f>
        <v>46682.37</v>
      </c>
      <c r="S519">
        <f>ROUND((Source!CA417/100)*ROUND((Source!AF417*Source!AV417)*Source!I417, 2), 2)</f>
        <v>6668.91</v>
      </c>
      <c r="T519">
        <f>Source!Y417</f>
        <v>6668.91</v>
      </c>
      <c r="U519">
        <f>ROUND((175/100)*ROUND((Source!AE417*Source!AV417)*Source!I417, 2), 2)</f>
        <v>0</v>
      </c>
      <c r="V519">
        <f>ROUND((108/100)*ROUND(Source!CS417*Source!I417, 2), 2)</f>
        <v>0</v>
      </c>
    </row>
    <row r="520" spans="1:22" x14ac:dyDescent="0.2">
      <c r="D520" s="23" t="str">
        <f>"Объем: "&amp;Source!I417&amp;"=6*"&amp;"15"</f>
        <v>Объем: 90=6*15</v>
      </c>
    </row>
    <row r="521" spans="1:22" ht="14.25" x14ac:dyDescent="0.2">
      <c r="A521" s="19"/>
      <c r="B521" s="19"/>
      <c r="C521" s="19"/>
      <c r="D521" s="19" t="s">
        <v>500</v>
      </c>
      <c r="E521" s="20"/>
      <c r="F521" s="9"/>
      <c r="G521" s="22">
        <f>Source!AO417</f>
        <v>740.99</v>
      </c>
      <c r="H521" s="21" t="str">
        <f>Source!DG417</f>
        <v/>
      </c>
      <c r="I521" s="9">
        <f>Source!AV417</f>
        <v>1</v>
      </c>
      <c r="J521" s="9">
        <f>IF(Source!BA417&lt;&gt; 0, Source!BA417, 1)</f>
        <v>1</v>
      </c>
      <c r="K521" s="22">
        <f>Source!S417</f>
        <v>66689.100000000006</v>
      </c>
      <c r="L521" s="22"/>
    </row>
    <row r="522" spans="1:22" ht="14.25" x14ac:dyDescent="0.2">
      <c r="A522" s="19"/>
      <c r="B522" s="19"/>
      <c r="C522" s="19"/>
      <c r="D522" s="19" t="s">
        <v>508</v>
      </c>
      <c r="E522" s="20"/>
      <c r="F522" s="9"/>
      <c r="G522" s="22">
        <f>Source!AL417</f>
        <v>1.7</v>
      </c>
      <c r="H522" s="21" t="str">
        <f>Source!DD417</f>
        <v/>
      </c>
      <c r="I522" s="9">
        <f>Source!AW417</f>
        <v>1</v>
      </c>
      <c r="J522" s="9">
        <f>IF(Source!BC417&lt;&gt; 0, Source!BC417, 1)</f>
        <v>1</v>
      </c>
      <c r="K522" s="22">
        <f>Source!P417</f>
        <v>153</v>
      </c>
      <c r="L522" s="22"/>
    </row>
    <row r="523" spans="1:22" ht="14.25" x14ac:dyDescent="0.2">
      <c r="A523" s="19"/>
      <c r="B523" s="19"/>
      <c r="C523" s="19"/>
      <c r="D523" s="19" t="s">
        <v>501</v>
      </c>
      <c r="E523" s="20" t="s">
        <v>502</v>
      </c>
      <c r="F523" s="9">
        <f>Source!AT417</f>
        <v>70</v>
      </c>
      <c r="G523" s="22"/>
      <c r="H523" s="21"/>
      <c r="I523" s="9"/>
      <c r="J523" s="9"/>
      <c r="K523" s="22">
        <f>SUM(R519:R522)</f>
        <v>46682.37</v>
      </c>
      <c r="L523" s="22"/>
    </row>
    <row r="524" spans="1:22" ht="14.25" x14ac:dyDescent="0.2">
      <c r="A524" s="19"/>
      <c r="B524" s="19"/>
      <c r="C524" s="19"/>
      <c r="D524" s="19" t="s">
        <v>503</v>
      </c>
      <c r="E524" s="20" t="s">
        <v>502</v>
      </c>
      <c r="F524" s="9">
        <f>Source!AU417</f>
        <v>10</v>
      </c>
      <c r="G524" s="22"/>
      <c r="H524" s="21"/>
      <c r="I524" s="9"/>
      <c r="J524" s="9"/>
      <c r="K524" s="22">
        <f>SUM(T519:T523)</f>
        <v>6668.91</v>
      </c>
      <c r="L524" s="22"/>
    </row>
    <row r="525" spans="1:22" ht="14.25" x14ac:dyDescent="0.2">
      <c r="A525" s="19"/>
      <c r="B525" s="19"/>
      <c r="C525" s="19"/>
      <c r="D525" s="19" t="s">
        <v>504</v>
      </c>
      <c r="E525" s="20" t="s">
        <v>505</v>
      </c>
      <c r="F525" s="9">
        <f>Source!AQ417</f>
        <v>1.2</v>
      </c>
      <c r="G525" s="22"/>
      <c r="H525" s="21" t="str">
        <f>Source!DI417</f>
        <v/>
      </c>
      <c r="I525" s="9">
        <f>Source!AV417</f>
        <v>1</v>
      </c>
      <c r="J525" s="9"/>
      <c r="K525" s="22"/>
      <c r="L525" s="22">
        <f>Source!U417</f>
        <v>108</v>
      </c>
    </row>
    <row r="526" spans="1:22" ht="15" x14ac:dyDescent="0.25">
      <c r="A526" s="25"/>
      <c r="B526" s="25"/>
      <c r="C526" s="25"/>
      <c r="D526" s="25"/>
      <c r="E526" s="25"/>
      <c r="F526" s="25"/>
      <c r="G526" s="25"/>
      <c r="H526" s="25"/>
      <c r="I526" s="25"/>
      <c r="J526" s="52">
        <f>K521+K522+K523+K524</f>
        <v>120193.38</v>
      </c>
      <c r="K526" s="52"/>
      <c r="L526" s="26">
        <f>IF(Source!I417&lt;&gt;0, ROUND(J526/Source!I417, 2), 0)</f>
        <v>1335.48</v>
      </c>
      <c r="P526" s="24">
        <f>J526</f>
        <v>120193.38</v>
      </c>
    </row>
    <row r="527" spans="1:22" ht="71.25" x14ac:dyDescent="0.2">
      <c r="A527" s="19">
        <v>50</v>
      </c>
      <c r="B527" s="19">
        <v>50</v>
      </c>
      <c r="C527" s="19" t="str">
        <f>Source!F418</f>
        <v>1.21-2303-28-1/1</v>
      </c>
      <c r="D527" s="19" t="str">
        <f>Source!G418</f>
        <v>Техническое обслуживание автоматического выключателя до 160 А / Дифференциальный автоматический выключатель, Iн=16А, Iдиф=30мА</v>
      </c>
      <c r="E527" s="20" t="str">
        <f>Source!H418</f>
        <v>шт.</v>
      </c>
      <c r="F527" s="9">
        <f>Source!I418</f>
        <v>30</v>
      </c>
      <c r="G527" s="22"/>
      <c r="H527" s="21"/>
      <c r="I527" s="9"/>
      <c r="J527" s="9"/>
      <c r="K527" s="22"/>
      <c r="L527" s="22"/>
      <c r="Q527">
        <f>ROUND((Source!BZ418/100)*ROUND((Source!AF418*Source!AV418)*Source!I418, 2), 2)</f>
        <v>8941.7999999999993</v>
      </c>
      <c r="R527">
        <f>Source!X418</f>
        <v>8941.7999999999993</v>
      </c>
      <c r="S527">
        <f>ROUND((Source!CA418/100)*ROUND((Source!AF418*Source!AV418)*Source!I418, 2), 2)</f>
        <v>1277.4000000000001</v>
      </c>
      <c r="T527">
        <f>Source!Y418</f>
        <v>1277.4000000000001</v>
      </c>
      <c r="U527">
        <f>ROUND((175/100)*ROUND((Source!AE418*Source!AV418)*Source!I418, 2), 2)</f>
        <v>0</v>
      </c>
      <c r="V527">
        <f>ROUND((108/100)*ROUND(Source!CS418*Source!I418, 2), 2)</f>
        <v>0</v>
      </c>
    </row>
    <row r="528" spans="1:22" x14ac:dyDescent="0.2">
      <c r="D528" s="23" t="str">
        <f>"Объем: "&amp;Source!I418&amp;"=2*"&amp;"15"</f>
        <v>Объем: 30=2*15</v>
      </c>
    </row>
    <row r="529" spans="1:22" ht="14.25" x14ac:dyDescent="0.2">
      <c r="A529" s="19"/>
      <c r="B529" s="19"/>
      <c r="C529" s="19"/>
      <c r="D529" s="19" t="s">
        <v>500</v>
      </c>
      <c r="E529" s="20"/>
      <c r="F529" s="9"/>
      <c r="G529" s="22">
        <f>Source!AO418</f>
        <v>212.9</v>
      </c>
      <c r="H529" s="21" t="str">
        <f>Source!DG418</f>
        <v>)*2</v>
      </c>
      <c r="I529" s="9">
        <f>Source!AV418</f>
        <v>1</v>
      </c>
      <c r="J529" s="9">
        <f>IF(Source!BA418&lt;&gt; 0, Source!BA418, 1)</f>
        <v>1</v>
      </c>
      <c r="K529" s="22">
        <f>Source!S418</f>
        <v>12774</v>
      </c>
      <c r="L529" s="22"/>
    </row>
    <row r="530" spans="1:22" ht="14.25" x14ac:dyDescent="0.2">
      <c r="A530" s="19"/>
      <c r="B530" s="19"/>
      <c r="C530" s="19"/>
      <c r="D530" s="19" t="s">
        <v>508</v>
      </c>
      <c r="E530" s="20"/>
      <c r="F530" s="9"/>
      <c r="G530" s="22">
        <f>Source!AL418</f>
        <v>4.53</v>
      </c>
      <c r="H530" s="21" t="str">
        <f>Source!DD418</f>
        <v>)*2</v>
      </c>
      <c r="I530" s="9">
        <f>Source!AW418</f>
        <v>1</v>
      </c>
      <c r="J530" s="9">
        <f>IF(Source!BC418&lt;&gt; 0, Source!BC418, 1)</f>
        <v>1</v>
      </c>
      <c r="K530" s="22">
        <f>Source!P418</f>
        <v>271.8</v>
      </c>
      <c r="L530" s="22"/>
    </row>
    <row r="531" spans="1:22" ht="14.25" x14ac:dyDescent="0.2">
      <c r="A531" s="19"/>
      <c r="B531" s="19"/>
      <c r="C531" s="19"/>
      <c r="D531" s="19" t="s">
        <v>501</v>
      </c>
      <c r="E531" s="20" t="s">
        <v>502</v>
      </c>
      <c r="F531" s="9">
        <f>Source!AT418</f>
        <v>70</v>
      </c>
      <c r="G531" s="22"/>
      <c r="H531" s="21"/>
      <c r="I531" s="9"/>
      <c r="J531" s="9"/>
      <c r="K531" s="22">
        <f>SUM(R527:R530)</f>
        <v>8941.7999999999993</v>
      </c>
      <c r="L531" s="22"/>
    </row>
    <row r="532" spans="1:22" ht="14.25" x14ac:dyDescent="0.2">
      <c r="A532" s="19"/>
      <c r="B532" s="19"/>
      <c r="C532" s="19"/>
      <c r="D532" s="19" t="s">
        <v>503</v>
      </c>
      <c r="E532" s="20" t="s">
        <v>502</v>
      </c>
      <c r="F532" s="9">
        <f>Source!AU418</f>
        <v>10</v>
      </c>
      <c r="G532" s="22"/>
      <c r="H532" s="21"/>
      <c r="I532" s="9"/>
      <c r="J532" s="9"/>
      <c r="K532" s="22">
        <f>SUM(T527:T531)</f>
        <v>1277.4000000000001</v>
      </c>
      <c r="L532" s="22"/>
    </row>
    <row r="533" spans="1:22" ht="14.25" x14ac:dyDescent="0.2">
      <c r="A533" s="19"/>
      <c r="B533" s="19"/>
      <c r="C533" s="19"/>
      <c r="D533" s="19" t="s">
        <v>504</v>
      </c>
      <c r="E533" s="20" t="s">
        <v>505</v>
      </c>
      <c r="F533" s="9">
        <f>Source!AQ418</f>
        <v>0.3</v>
      </c>
      <c r="G533" s="22"/>
      <c r="H533" s="21" t="str">
        <f>Source!DI418</f>
        <v>)*2</v>
      </c>
      <c r="I533" s="9">
        <f>Source!AV418</f>
        <v>1</v>
      </c>
      <c r="J533" s="9"/>
      <c r="K533" s="22"/>
      <c r="L533" s="22">
        <f>Source!U418</f>
        <v>18</v>
      </c>
    </row>
    <row r="534" spans="1:22" ht="15" x14ac:dyDescent="0.25">
      <c r="A534" s="25"/>
      <c r="B534" s="25"/>
      <c r="C534" s="25"/>
      <c r="D534" s="25"/>
      <c r="E534" s="25"/>
      <c r="F534" s="25"/>
      <c r="G534" s="25"/>
      <c r="H534" s="25"/>
      <c r="I534" s="25"/>
      <c r="J534" s="52">
        <f>K529+K530+K531+K532</f>
        <v>23265</v>
      </c>
      <c r="K534" s="52"/>
      <c r="L534" s="26">
        <f>IF(Source!I418&lt;&gt;0, ROUND(J534/Source!I418, 2), 0)</f>
        <v>775.5</v>
      </c>
      <c r="P534" s="24">
        <f>J534</f>
        <v>23265</v>
      </c>
    </row>
    <row r="536" spans="1:22" ht="15" x14ac:dyDescent="0.25">
      <c r="C536" s="55" t="str">
        <f>Source!G419</f>
        <v>Светильники:</v>
      </c>
      <c r="D536" s="55"/>
      <c r="E536" s="55"/>
      <c r="F536" s="55"/>
      <c r="G536" s="55"/>
      <c r="H536" s="55"/>
      <c r="I536" s="55"/>
      <c r="J536" s="55"/>
      <c r="K536" s="55"/>
    </row>
    <row r="537" spans="1:22" ht="93.75" x14ac:dyDescent="0.2">
      <c r="A537" s="19">
        <v>51</v>
      </c>
      <c r="B537" s="19">
        <v>51</v>
      </c>
      <c r="C537" s="19" t="s">
        <v>510</v>
      </c>
      <c r="D537" s="19" t="s">
        <v>514</v>
      </c>
      <c r="E537" s="20" t="str">
        <f>Source!H420</f>
        <v>шт.</v>
      </c>
      <c r="F537" s="9">
        <f>Source!I420</f>
        <v>60</v>
      </c>
      <c r="G537" s="22"/>
      <c r="H537" s="21"/>
      <c r="I537" s="9"/>
      <c r="J537" s="9"/>
      <c r="K537" s="22"/>
      <c r="L537" s="22"/>
      <c r="Q537">
        <f>ROUND((Source!BZ420/100)*ROUND((Source!AF420*Source!AV420)*Source!I420, 2), 2)</f>
        <v>9822.32</v>
      </c>
      <c r="R537">
        <f>Source!X420</f>
        <v>9822.32</v>
      </c>
      <c r="S537">
        <f>ROUND((Source!CA420/100)*ROUND((Source!AF420*Source!AV420)*Source!I420, 2), 2)</f>
        <v>1403.19</v>
      </c>
      <c r="T537">
        <f>Source!Y420</f>
        <v>1403.19</v>
      </c>
      <c r="U537">
        <f>ROUND((175/100)*ROUND((Source!AE420*Source!AV420)*Source!I420, 2), 2)</f>
        <v>0</v>
      </c>
      <c r="V537">
        <f>ROUND((108/100)*ROUND(Source!CS420*Source!I420, 2), 2)</f>
        <v>0</v>
      </c>
    </row>
    <row r="538" spans="1:22" x14ac:dyDescent="0.2">
      <c r="D538" s="23" t="str">
        <f>"Объем: "&amp;Source!I420&amp;"=4*"&amp;"15"</f>
        <v>Объем: 60=4*15</v>
      </c>
    </row>
    <row r="539" spans="1:22" ht="14.25" x14ac:dyDescent="0.2">
      <c r="A539" s="19"/>
      <c r="B539" s="19"/>
      <c r="C539" s="19"/>
      <c r="D539" s="19" t="s">
        <v>500</v>
      </c>
      <c r="E539" s="20"/>
      <c r="F539" s="9"/>
      <c r="G539" s="22">
        <f>Source!AO420</f>
        <v>224.87</v>
      </c>
      <c r="H539" s="21" t="str">
        <f>Source!DG420</f>
        <v>)*1,04</v>
      </c>
      <c r="I539" s="9">
        <f>Source!AV420</f>
        <v>1</v>
      </c>
      <c r="J539" s="9">
        <f>IF(Source!BA420&lt;&gt; 0, Source!BA420, 1)</f>
        <v>1</v>
      </c>
      <c r="K539" s="22">
        <f>Source!S420</f>
        <v>14031.89</v>
      </c>
      <c r="L539" s="22"/>
    </row>
    <row r="540" spans="1:22" ht="14.25" x14ac:dyDescent="0.2">
      <c r="A540" s="19"/>
      <c r="B540" s="19"/>
      <c r="C540" s="19"/>
      <c r="D540" s="19" t="s">
        <v>508</v>
      </c>
      <c r="E540" s="20"/>
      <c r="F540" s="9"/>
      <c r="G540" s="22">
        <f>Source!AL420</f>
        <v>1.26</v>
      </c>
      <c r="H540" s="21" t="str">
        <f>Source!DD420</f>
        <v/>
      </c>
      <c r="I540" s="9">
        <f>Source!AW420</f>
        <v>1</v>
      </c>
      <c r="J540" s="9">
        <f>IF(Source!BC420&lt;&gt; 0, Source!BC420, 1)</f>
        <v>1</v>
      </c>
      <c r="K540" s="22">
        <f>Source!P420</f>
        <v>75.599999999999994</v>
      </c>
      <c r="L540" s="22"/>
    </row>
    <row r="541" spans="1:22" ht="14.25" x14ac:dyDescent="0.2">
      <c r="A541" s="19"/>
      <c r="B541" s="19"/>
      <c r="C541" s="19"/>
      <c r="D541" s="19" t="s">
        <v>501</v>
      </c>
      <c r="E541" s="20" t="s">
        <v>502</v>
      </c>
      <c r="F541" s="9">
        <f>Source!AT420</f>
        <v>70</v>
      </c>
      <c r="G541" s="22"/>
      <c r="H541" s="21"/>
      <c r="I541" s="9"/>
      <c r="J541" s="9"/>
      <c r="K541" s="22">
        <f>SUM(R537:R540)</f>
        <v>9822.32</v>
      </c>
      <c r="L541" s="22"/>
    </row>
    <row r="542" spans="1:22" ht="14.25" x14ac:dyDescent="0.2">
      <c r="A542" s="19"/>
      <c r="B542" s="19"/>
      <c r="C542" s="19"/>
      <c r="D542" s="19" t="s">
        <v>503</v>
      </c>
      <c r="E542" s="20" t="s">
        <v>502</v>
      </c>
      <c r="F542" s="9">
        <f>Source!AU420</f>
        <v>10</v>
      </c>
      <c r="G542" s="22"/>
      <c r="H542" s="21"/>
      <c r="I542" s="9"/>
      <c r="J542" s="9"/>
      <c r="K542" s="22">
        <f>SUM(T537:T541)</f>
        <v>1403.19</v>
      </c>
      <c r="L542" s="22"/>
    </row>
    <row r="543" spans="1:22" ht="14.25" x14ac:dyDescent="0.2">
      <c r="A543" s="19"/>
      <c r="B543" s="19"/>
      <c r="C543" s="19"/>
      <c r="D543" s="19" t="s">
        <v>504</v>
      </c>
      <c r="E543" s="20" t="s">
        <v>505</v>
      </c>
      <c r="F543" s="9">
        <f>Source!AQ420</f>
        <v>0.4</v>
      </c>
      <c r="G543" s="22"/>
      <c r="H543" s="21" t="str">
        <f>Source!DI420</f>
        <v>)*1,04</v>
      </c>
      <c r="I543" s="9">
        <f>Source!AV420</f>
        <v>1</v>
      </c>
      <c r="J543" s="9"/>
      <c r="K543" s="22"/>
      <c r="L543" s="22">
        <f>Source!U420</f>
        <v>24.96</v>
      </c>
    </row>
    <row r="544" spans="1:22" ht="15" x14ac:dyDescent="0.25">
      <c r="A544" s="25"/>
      <c r="B544" s="25"/>
      <c r="C544" s="25"/>
      <c r="D544" s="25"/>
      <c r="E544" s="25"/>
      <c r="F544" s="25"/>
      <c r="G544" s="25"/>
      <c r="H544" s="25"/>
      <c r="I544" s="25"/>
      <c r="J544" s="52">
        <f>K539+K540+K541+K542</f>
        <v>25332.999999999996</v>
      </c>
      <c r="K544" s="52"/>
      <c r="L544" s="26">
        <f>IF(Source!I420&lt;&gt;0, ROUND(J544/Source!I420, 2), 0)</f>
        <v>422.22</v>
      </c>
      <c r="P544" s="24">
        <f>J544</f>
        <v>25332.999999999996</v>
      </c>
    </row>
    <row r="545" spans="1:22" ht="165" x14ac:dyDescent="0.2">
      <c r="A545" s="19">
        <v>52</v>
      </c>
      <c r="B545" s="19">
        <v>52</v>
      </c>
      <c r="C545" s="19" t="s">
        <v>515</v>
      </c>
      <c r="D545" s="19" t="s">
        <v>516</v>
      </c>
      <c r="E545" s="20" t="str">
        <f>Source!H421</f>
        <v>шт.</v>
      </c>
      <c r="F545" s="9">
        <f>Source!I421</f>
        <v>135</v>
      </c>
      <c r="G545" s="22"/>
      <c r="H545" s="21"/>
      <c r="I545" s="9"/>
      <c r="J545" s="9"/>
      <c r="K545" s="22"/>
      <c r="L545" s="22"/>
      <c r="Q545">
        <f>ROUND((Source!BZ421/100)*ROUND((Source!AF421*Source!AV421)*Source!I421, 2), 2)</f>
        <v>9944.9599999999991</v>
      </c>
      <c r="R545">
        <f>Source!X421</f>
        <v>9944.9599999999991</v>
      </c>
      <c r="S545">
        <f>ROUND((Source!CA421/100)*ROUND((Source!AF421*Source!AV421)*Source!I421, 2), 2)</f>
        <v>1420.71</v>
      </c>
      <c r="T545">
        <f>Source!Y421</f>
        <v>1420.71</v>
      </c>
      <c r="U545">
        <f>ROUND((175/100)*ROUND((Source!AE421*Source!AV421)*Source!I421, 2), 2)</f>
        <v>0</v>
      </c>
      <c r="V545">
        <f>ROUND((108/100)*ROUND(Source!CS421*Source!I421, 2), 2)</f>
        <v>0</v>
      </c>
    </row>
    <row r="546" spans="1:22" x14ac:dyDescent="0.2">
      <c r="D546" s="23" t="str">
        <f>"Объем: "&amp;Source!I421&amp;"=9*"&amp;"15"</f>
        <v>Объем: 135=9*15</v>
      </c>
    </row>
    <row r="547" spans="1:22" ht="14.25" x14ac:dyDescent="0.2">
      <c r="A547" s="19"/>
      <c r="B547" s="19"/>
      <c r="C547" s="19"/>
      <c r="D547" s="19" t="s">
        <v>500</v>
      </c>
      <c r="E547" s="20"/>
      <c r="F547" s="9"/>
      <c r="G547" s="22">
        <f>Source!AO421</f>
        <v>101.19</v>
      </c>
      <c r="H547" s="21" t="str">
        <f>Source!DG421</f>
        <v>)*1,04</v>
      </c>
      <c r="I547" s="9">
        <f>Source!AV421</f>
        <v>1</v>
      </c>
      <c r="J547" s="9">
        <f>IF(Source!BA421&lt;&gt; 0, Source!BA421, 1)</f>
        <v>1</v>
      </c>
      <c r="K547" s="22">
        <f>Source!S421</f>
        <v>14207.08</v>
      </c>
      <c r="L547" s="22"/>
    </row>
    <row r="548" spans="1:22" ht="14.25" x14ac:dyDescent="0.2">
      <c r="A548" s="19"/>
      <c r="B548" s="19"/>
      <c r="C548" s="19"/>
      <c r="D548" s="19" t="s">
        <v>508</v>
      </c>
      <c r="E548" s="20"/>
      <c r="F548" s="9"/>
      <c r="G548" s="22">
        <f>Source!AL421</f>
        <v>1.26</v>
      </c>
      <c r="H548" s="21" t="str">
        <f>Source!DD421</f>
        <v/>
      </c>
      <c r="I548" s="9">
        <f>Source!AW421</f>
        <v>1</v>
      </c>
      <c r="J548" s="9">
        <f>IF(Source!BC421&lt;&gt; 0, Source!BC421, 1)</f>
        <v>1</v>
      </c>
      <c r="K548" s="22">
        <f>Source!P421</f>
        <v>170.1</v>
      </c>
      <c r="L548" s="22"/>
    </row>
    <row r="549" spans="1:22" ht="14.25" x14ac:dyDescent="0.2">
      <c r="A549" s="19"/>
      <c r="B549" s="19"/>
      <c r="C549" s="19"/>
      <c r="D549" s="19" t="s">
        <v>501</v>
      </c>
      <c r="E549" s="20" t="s">
        <v>502</v>
      </c>
      <c r="F549" s="9">
        <f>Source!AT421</f>
        <v>70</v>
      </c>
      <c r="G549" s="22"/>
      <c r="H549" s="21"/>
      <c r="I549" s="9"/>
      <c r="J549" s="9"/>
      <c r="K549" s="22">
        <f>SUM(R545:R548)</f>
        <v>9944.9599999999991</v>
      </c>
      <c r="L549" s="22"/>
    </row>
    <row r="550" spans="1:22" ht="14.25" x14ac:dyDescent="0.2">
      <c r="A550" s="19"/>
      <c r="B550" s="19"/>
      <c r="C550" s="19"/>
      <c r="D550" s="19" t="s">
        <v>503</v>
      </c>
      <c r="E550" s="20" t="s">
        <v>502</v>
      </c>
      <c r="F550" s="9">
        <f>Source!AU421</f>
        <v>10</v>
      </c>
      <c r="G550" s="22"/>
      <c r="H550" s="21"/>
      <c r="I550" s="9"/>
      <c r="J550" s="9"/>
      <c r="K550" s="22">
        <f>SUM(T545:T549)</f>
        <v>1420.71</v>
      </c>
      <c r="L550" s="22"/>
    </row>
    <row r="551" spans="1:22" ht="14.25" x14ac:dyDescent="0.2">
      <c r="A551" s="19"/>
      <c r="B551" s="19"/>
      <c r="C551" s="19"/>
      <c r="D551" s="19" t="s">
        <v>504</v>
      </c>
      <c r="E551" s="20" t="s">
        <v>505</v>
      </c>
      <c r="F551" s="9">
        <f>Source!AQ421</f>
        <v>0.18</v>
      </c>
      <c r="G551" s="22"/>
      <c r="H551" s="21" t="str">
        <f>Source!DI421</f>
        <v>)*1,04</v>
      </c>
      <c r="I551" s="9">
        <f>Source!AV421</f>
        <v>1</v>
      </c>
      <c r="J551" s="9"/>
      <c r="K551" s="22"/>
      <c r="L551" s="22">
        <f>Source!U421</f>
        <v>25.272000000000002</v>
      </c>
    </row>
    <row r="552" spans="1:22" ht="15" x14ac:dyDescent="0.25">
      <c r="A552" s="25"/>
      <c r="B552" s="25"/>
      <c r="C552" s="25"/>
      <c r="D552" s="25"/>
      <c r="E552" s="25"/>
      <c r="F552" s="25"/>
      <c r="G552" s="25"/>
      <c r="H552" s="25"/>
      <c r="I552" s="25"/>
      <c r="J552" s="52">
        <f>K547+K548+K549+K550</f>
        <v>25742.85</v>
      </c>
      <c r="K552" s="52"/>
      <c r="L552" s="26">
        <f>IF(Source!I421&lt;&gt;0, ROUND(J552/Source!I421, 2), 0)</f>
        <v>190.69</v>
      </c>
      <c r="P552" s="24">
        <f>J552</f>
        <v>25742.85</v>
      </c>
    </row>
    <row r="553" spans="1:22" ht="179.25" x14ac:dyDescent="0.2">
      <c r="A553" s="19">
        <v>53</v>
      </c>
      <c r="B553" s="19">
        <v>53</v>
      </c>
      <c r="C553" s="19" t="s">
        <v>512</v>
      </c>
      <c r="D553" s="19" t="s">
        <v>517</v>
      </c>
      <c r="E553" s="20" t="str">
        <f>Source!H422</f>
        <v>шт.</v>
      </c>
      <c r="F553" s="9">
        <f>Source!I422</f>
        <v>15</v>
      </c>
      <c r="G553" s="22"/>
      <c r="H553" s="21"/>
      <c r="I553" s="9"/>
      <c r="J553" s="9"/>
      <c r="K553" s="22"/>
      <c r="L553" s="22"/>
      <c r="Q553">
        <f>ROUND((Source!BZ422/100)*ROUND((Source!AF422*Source!AV422)*Source!I422, 2), 2)</f>
        <v>1841.66</v>
      </c>
      <c r="R553">
        <f>Source!X422</f>
        <v>1841.66</v>
      </c>
      <c r="S553">
        <f>ROUND((Source!CA422/100)*ROUND((Source!AF422*Source!AV422)*Source!I422, 2), 2)</f>
        <v>263.08999999999997</v>
      </c>
      <c r="T553">
        <f>Source!Y422</f>
        <v>263.08999999999997</v>
      </c>
      <c r="U553">
        <f>ROUND((175/100)*ROUND((Source!AE422*Source!AV422)*Source!I422, 2), 2)</f>
        <v>0</v>
      </c>
      <c r="V553">
        <f>ROUND((108/100)*ROUND(Source!CS422*Source!I422, 2), 2)</f>
        <v>0</v>
      </c>
    </row>
    <row r="554" spans="1:22" x14ac:dyDescent="0.2">
      <c r="D554" s="23" t="str">
        <f>"Объем: "&amp;Source!I422&amp;"=1*"&amp;"15"</f>
        <v>Объем: 15=1*15</v>
      </c>
    </row>
    <row r="555" spans="1:22" ht="14.25" x14ac:dyDescent="0.2">
      <c r="A555" s="19"/>
      <c r="B555" s="19"/>
      <c r="C555" s="19"/>
      <c r="D555" s="19" t="s">
        <v>500</v>
      </c>
      <c r="E555" s="20"/>
      <c r="F555" s="9"/>
      <c r="G555" s="22">
        <f>Source!AO422</f>
        <v>168.65</v>
      </c>
      <c r="H555" s="21" t="str">
        <f>Source!DG422</f>
        <v>)*1,04</v>
      </c>
      <c r="I555" s="9">
        <f>Source!AV422</f>
        <v>1</v>
      </c>
      <c r="J555" s="9">
        <f>IF(Source!BA422&lt;&gt; 0, Source!BA422, 1)</f>
        <v>1</v>
      </c>
      <c r="K555" s="22">
        <f>Source!S422</f>
        <v>2630.94</v>
      </c>
      <c r="L555" s="22"/>
    </row>
    <row r="556" spans="1:22" ht="14.25" x14ac:dyDescent="0.2">
      <c r="A556" s="19"/>
      <c r="B556" s="19"/>
      <c r="C556" s="19"/>
      <c r="D556" s="19" t="s">
        <v>508</v>
      </c>
      <c r="E556" s="20"/>
      <c r="F556" s="9"/>
      <c r="G556" s="22">
        <f>Source!AL422</f>
        <v>0.63</v>
      </c>
      <c r="H556" s="21" t="str">
        <f>Source!DD422</f>
        <v/>
      </c>
      <c r="I556" s="9">
        <f>Source!AW422</f>
        <v>1</v>
      </c>
      <c r="J556" s="9">
        <f>IF(Source!BC422&lt;&gt; 0, Source!BC422, 1)</f>
        <v>1</v>
      </c>
      <c r="K556" s="22">
        <f>Source!P422</f>
        <v>9.4499999999999993</v>
      </c>
      <c r="L556" s="22"/>
    </row>
    <row r="557" spans="1:22" ht="14.25" x14ac:dyDescent="0.2">
      <c r="A557" s="19"/>
      <c r="B557" s="19"/>
      <c r="C557" s="19"/>
      <c r="D557" s="19" t="s">
        <v>501</v>
      </c>
      <c r="E557" s="20" t="s">
        <v>502</v>
      </c>
      <c r="F557" s="9">
        <f>Source!AT422</f>
        <v>70</v>
      </c>
      <c r="G557" s="22"/>
      <c r="H557" s="21"/>
      <c r="I557" s="9"/>
      <c r="J557" s="9"/>
      <c r="K557" s="22">
        <f>SUM(R553:R556)</f>
        <v>1841.66</v>
      </c>
      <c r="L557" s="22"/>
    </row>
    <row r="558" spans="1:22" ht="14.25" x14ac:dyDescent="0.2">
      <c r="A558" s="19"/>
      <c r="B558" s="19"/>
      <c r="C558" s="19"/>
      <c r="D558" s="19" t="s">
        <v>503</v>
      </c>
      <c r="E558" s="20" t="s">
        <v>502</v>
      </c>
      <c r="F558" s="9">
        <f>Source!AU422</f>
        <v>10</v>
      </c>
      <c r="G558" s="22"/>
      <c r="H558" s="21"/>
      <c r="I558" s="9"/>
      <c r="J558" s="9"/>
      <c r="K558" s="22">
        <f>SUM(T553:T557)</f>
        <v>263.08999999999997</v>
      </c>
      <c r="L558" s="22"/>
    </row>
    <row r="559" spans="1:22" ht="14.25" x14ac:dyDescent="0.2">
      <c r="A559" s="19"/>
      <c r="B559" s="19"/>
      <c r="C559" s="19"/>
      <c r="D559" s="19" t="s">
        <v>504</v>
      </c>
      <c r="E559" s="20" t="s">
        <v>505</v>
      </c>
      <c r="F559" s="9">
        <f>Source!AQ422</f>
        <v>0.3</v>
      </c>
      <c r="G559" s="22"/>
      <c r="H559" s="21" t="str">
        <f>Source!DI422</f>
        <v>)*1,04</v>
      </c>
      <c r="I559" s="9">
        <f>Source!AV422</f>
        <v>1</v>
      </c>
      <c r="J559" s="9"/>
      <c r="K559" s="22"/>
      <c r="L559" s="22">
        <f>Source!U422</f>
        <v>4.68</v>
      </c>
    </row>
    <row r="560" spans="1:22" ht="15" x14ac:dyDescent="0.25">
      <c r="A560" s="25"/>
      <c r="B560" s="25"/>
      <c r="C560" s="25"/>
      <c r="D560" s="25"/>
      <c r="E560" s="25"/>
      <c r="F560" s="25"/>
      <c r="G560" s="25"/>
      <c r="H560" s="25"/>
      <c r="I560" s="25"/>
      <c r="J560" s="52">
        <f>K555+K556+K557+K558</f>
        <v>4745.1400000000003</v>
      </c>
      <c r="K560" s="52"/>
      <c r="L560" s="26">
        <f>IF(Source!I422&lt;&gt;0, ROUND(J560/Source!I422, 2), 0)</f>
        <v>316.33999999999997</v>
      </c>
      <c r="P560" s="24">
        <f>J560</f>
        <v>4745.1400000000003</v>
      </c>
    </row>
    <row r="562" spans="1:22" ht="15" x14ac:dyDescent="0.25">
      <c r="C562" s="55" t="str">
        <f>Source!G423</f>
        <v>Электроустановочные изделия</v>
      </c>
      <c r="D562" s="55"/>
      <c r="E562" s="55"/>
      <c r="F562" s="55"/>
      <c r="G562" s="55"/>
      <c r="H562" s="55"/>
      <c r="I562" s="55"/>
      <c r="J562" s="55"/>
      <c r="K562" s="55"/>
    </row>
    <row r="563" spans="1:22" ht="57" x14ac:dyDescent="0.2">
      <c r="A563" s="19">
        <v>54</v>
      </c>
      <c r="B563" s="19">
        <v>54</v>
      </c>
      <c r="C563" s="19" t="str">
        <f>Source!F424</f>
        <v>1.23-2103-6-1/1</v>
      </c>
      <c r="D563" s="19" t="str">
        <f>Source!G424</f>
        <v>Техническое обслуживание выключателей поплавковых / Выключатель одноклавишный Ном. ток 10 А. Ном. напр.: 250 В.</v>
      </c>
      <c r="E563" s="20" t="str">
        <f>Source!H424</f>
        <v>100 шт.</v>
      </c>
      <c r="F563" s="9">
        <f>Source!I424</f>
        <v>1.05</v>
      </c>
      <c r="G563" s="22"/>
      <c r="H563" s="21"/>
      <c r="I563" s="9"/>
      <c r="J563" s="9"/>
      <c r="K563" s="22"/>
      <c r="L563" s="22"/>
      <c r="Q563">
        <f>ROUND((Source!BZ424/100)*ROUND((Source!AF424*Source!AV424)*Source!I424, 2), 2)</f>
        <v>9442.9599999999991</v>
      </c>
      <c r="R563">
        <f>Source!X424</f>
        <v>9442.9599999999991</v>
      </c>
      <c r="S563">
        <f>ROUND((Source!CA424/100)*ROUND((Source!AF424*Source!AV424)*Source!I424, 2), 2)</f>
        <v>1348.99</v>
      </c>
      <c r="T563">
        <f>Source!Y424</f>
        <v>1348.99</v>
      </c>
      <c r="U563">
        <f>ROUND((175/100)*ROUND((Source!AE424*Source!AV424)*Source!I424, 2), 2)</f>
        <v>4250.8</v>
      </c>
      <c r="V563">
        <f>ROUND((108/100)*ROUND(Source!CS424*Source!I424, 2), 2)</f>
        <v>2623.35</v>
      </c>
    </row>
    <row r="564" spans="1:22" x14ac:dyDescent="0.2">
      <c r="D564" s="23" t="str">
        <f>"Объем: "&amp;Source!I424&amp;"=(5+"&amp;"2)*"&amp;"15/"&amp;"100"</f>
        <v>Объем: 1,05=(5+2)*15/100</v>
      </c>
    </row>
    <row r="565" spans="1:22" ht="14.25" x14ac:dyDescent="0.2">
      <c r="A565" s="19"/>
      <c r="B565" s="19"/>
      <c r="C565" s="19"/>
      <c r="D565" s="19" t="s">
        <v>500</v>
      </c>
      <c r="E565" s="20"/>
      <c r="F565" s="9"/>
      <c r="G565" s="22">
        <f>Source!AO424</f>
        <v>3211.89</v>
      </c>
      <c r="H565" s="21" t="str">
        <f>Source!DG424</f>
        <v>)*4</v>
      </c>
      <c r="I565" s="9">
        <f>Source!AV424</f>
        <v>1</v>
      </c>
      <c r="J565" s="9">
        <f>IF(Source!BA424&lt;&gt; 0, Source!BA424, 1)</f>
        <v>1</v>
      </c>
      <c r="K565" s="22">
        <f>Source!S424</f>
        <v>13489.94</v>
      </c>
      <c r="L565" s="22"/>
    </row>
    <row r="566" spans="1:22" ht="14.25" x14ac:dyDescent="0.2">
      <c r="A566" s="19"/>
      <c r="B566" s="19"/>
      <c r="C566" s="19"/>
      <c r="D566" s="19" t="s">
        <v>506</v>
      </c>
      <c r="E566" s="20"/>
      <c r="F566" s="9"/>
      <c r="G566" s="22">
        <f>Source!AM424</f>
        <v>912.11</v>
      </c>
      <c r="H566" s="21" t="str">
        <f>Source!DE424</f>
        <v>)*4</v>
      </c>
      <c r="I566" s="9">
        <f>Source!AV424</f>
        <v>1</v>
      </c>
      <c r="J566" s="9">
        <f>IF(Source!BB424&lt;&gt; 0, Source!BB424, 1)</f>
        <v>1</v>
      </c>
      <c r="K566" s="22">
        <f>Source!Q424</f>
        <v>3830.86</v>
      </c>
      <c r="L566" s="22"/>
    </row>
    <row r="567" spans="1:22" ht="14.25" x14ac:dyDescent="0.2">
      <c r="A567" s="19"/>
      <c r="B567" s="19"/>
      <c r="C567" s="19"/>
      <c r="D567" s="19" t="s">
        <v>507</v>
      </c>
      <c r="E567" s="20"/>
      <c r="F567" s="9"/>
      <c r="G567" s="22">
        <f>Source!AN424</f>
        <v>578.34</v>
      </c>
      <c r="H567" s="21" t="str">
        <f>Source!DF424</f>
        <v>)*4</v>
      </c>
      <c r="I567" s="9">
        <f>Source!AV424</f>
        <v>1</v>
      </c>
      <c r="J567" s="9">
        <f>IF(Source!BS424&lt;&gt; 0, Source!BS424, 1)</f>
        <v>1</v>
      </c>
      <c r="K567" s="27">
        <f>Source!R424</f>
        <v>2429.0300000000002</v>
      </c>
      <c r="L567" s="22"/>
    </row>
    <row r="568" spans="1:22" ht="14.25" x14ac:dyDescent="0.2">
      <c r="A568" s="19"/>
      <c r="B568" s="19"/>
      <c r="C568" s="19"/>
      <c r="D568" s="19" t="s">
        <v>508</v>
      </c>
      <c r="E568" s="20"/>
      <c r="F568" s="9"/>
      <c r="G568" s="22">
        <f>Source!AL424</f>
        <v>0.94</v>
      </c>
      <c r="H568" s="21" t="str">
        <f>Source!DD424</f>
        <v>)*4</v>
      </c>
      <c r="I568" s="9">
        <f>Source!AW424</f>
        <v>1</v>
      </c>
      <c r="J568" s="9">
        <f>IF(Source!BC424&lt;&gt; 0, Source!BC424, 1)</f>
        <v>1</v>
      </c>
      <c r="K568" s="22">
        <f>Source!P424</f>
        <v>3.95</v>
      </c>
      <c r="L568" s="22"/>
    </row>
    <row r="569" spans="1:22" ht="14.25" x14ac:dyDescent="0.2">
      <c r="A569" s="19"/>
      <c r="B569" s="19"/>
      <c r="C569" s="19"/>
      <c r="D569" s="19" t="s">
        <v>501</v>
      </c>
      <c r="E569" s="20" t="s">
        <v>502</v>
      </c>
      <c r="F569" s="9">
        <f>Source!AT424</f>
        <v>70</v>
      </c>
      <c r="G569" s="22"/>
      <c r="H569" s="21"/>
      <c r="I569" s="9"/>
      <c r="J569" s="9"/>
      <c r="K569" s="22">
        <f>SUM(R563:R568)</f>
        <v>9442.9599999999991</v>
      </c>
      <c r="L569" s="22"/>
    </row>
    <row r="570" spans="1:22" ht="14.25" x14ac:dyDescent="0.2">
      <c r="A570" s="19"/>
      <c r="B570" s="19"/>
      <c r="C570" s="19"/>
      <c r="D570" s="19" t="s">
        <v>503</v>
      </c>
      <c r="E570" s="20" t="s">
        <v>502</v>
      </c>
      <c r="F570" s="9">
        <f>Source!AU424</f>
        <v>10</v>
      </c>
      <c r="G570" s="22"/>
      <c r="H570" s="21"/>
      <c r="I570" s="9"/>
      <c r="J570" s="9"/>
      <c r="K570" s="22">
        <f>SUM(T563:T569)</f>
        <v>1348.99</v>
      </c>
      <c r="L570" s="22"/>
    </row>
    <row r="571" spans="1:22" ht="14.25" x14ac:dyDescent="0.2">
      <c r="A571" s="19"/>
      <c r="B571" s="19"/>
      <c r="C571" s="19"/>
      <c r="D571" s="19" t="s">
        <v>509</v>
      </c>
      <c r="E571" s="20" t="s">
        <v>502</v>
      </c>
      <c r="F571" s="9">
        <f>108</f>
        <v>108</v>
      </c>
      <c r="G571" s="22"/>
      <c r="H571" s="21"/>
      <c r="I571" s="9"/>
      <c r="J571" s="9"/>
      <c r="K571" s="22">
        <f>SUM(V563:V570)</f>
        <v>2623.35</v>
      </c>
      <c r="L571" s="22"/>
    </row>
    <row r="572" spans="1:22" ht="14.25" x14ac:dyDescent="0.2">
      <c r="A572" s="19"/>
      <c r="B572" s="19"/>
      <c r="C572" s="19"/>
      <c r="D572" s="19" t="s">
        <v>504</v>
      </c>
      <c r="E572" s="20" t="s">
        <v>505</v>
      </c>
      <c r="F572" s="9">
        <f>Source!AQ424</f>
        <v>6</v>
      </c>
      <c r="G572" s="22"/>
      <c r="H572" s="21" t="str">
        <f>Source!DI424</f>
        <v>)*4</v>
      </c>
      <c r="I572" s="9">
        <f>Source!AV424</f>
        <v>1</v>
      </c>
      <c r="J572" s="9"/>
      <c r="K572" s="22"/>
      <c r="L572" s="22">
        <f>Source!U424</f>
        <v>25.200000000000003</v>
      </c>
    </row>
    <row r="573" spans="1:22" ht="15" x14ac:dyDescent="0.25">
      <c r="A573" s="25"/>
      <c r="B573" s="25"/>
      <c r="C573" s="25"/>
      <c r="D573" s="25"/>
      <c r="E573" s="25"/>
      <c r="F573" s="25"/>
      <c r="G573" s="25"/>
      <c r="H573" s="25"/>
      <c r="I573" s="25"/>
      <c r="J573" s="52">
        <f>K565+K566+K568+K569+K570+K571</f>
        <v>30740.05</v>
      </c>
      <c r="K573" s="52"/>
      <c r="L573" s="26">
        <f>IF(Source!I424&lt;&gt;0, ROUND(J573/Source!I424, 2), 0)</f>
        <v>29276.240000000002</v>
      </c>
      <c r="P573" s="24">
        <f>J573</f>
        <v>30740.05</v>
      </c>
    </row>
    <row r="574" spans="1:22" ht="71.25" x14ac:dyDescent="0.2">
      <c r="A574" s="19">
        <v>55</v>
      </c>
      <c r="B574" s="19">
        <v>55</v>
      </c>
      <c r="C574" s="19" t="str">
        <f>Source!F426</f>
        <v>1.21-2303-37-1/1</v>
      </c>
      <c r="D574" s="19" t="str">
        <f>Source!G426</f>
        <v>Техническое обслуживание накладной штепсельной силовой розетки с винтовыми зажимами, заземляющим контактом, степень защиты IP20, IP21, IP22 - полугодовое</v>
      </c>
      <c r="E574" s="20" t="str">
        <f>Source!H426</f>
        <v>10 шт.</v>
      </c>
      <c r="F574" s="9">
        <f>Source!I426</f>
        <v>34.5</v>
      </c>
      <c r="G574" s="22"/>
      <c r="H574" s="21"/>
      <c r="I574" s="9"/>
      <c r="J574" s="9"/>
      <c r="K574" s="22"/>
      <c r="L574" s="22"/>
      <c r="Q574">
        <f>ROUND((Source!BZ426/100)*ROUND((Source!AF426*Source!AV426)*Source!I426, 2), 2)</f>
        <v>2684.28</v>
      </c>
      <c r="R574">
        <f>Source!X426</f>
        <v>2684.28</v>
      </c>
      <c r="S574">
        <f>ROUND((Source!CA426/100)*ROUND((Source!AF426*Source!AV426)*Source!I426, 2), 2)</f>
        <v>383.47</v>
      </c>
      <c r="T574">
        <f>Source!Y426</f>
        <v>383.47</v>
      </c>
      <c r="U574">
        <f>ROUND((175/100)*ROUND((Source!AE426*Source!AV426)*Source!I426, 2), 2)</f>
        <v>0</v>
      </c>
      <c r="V574">
        <f>ROUND((108/100)*ROUND(Source!CS426*Source!I426, 2), 2)</f>
        <v>0</v>
      </c>
    </row>
    <row r="575" spans="1:22" x14ac:dyDescent="0.2">
      <c r="D575" s="23" t="str">
        <f>"Объем: "&amp;Source!I426&amp;"=(6+"&amp;"17)*"&amp;"15/"&amp;"10"</f>
        <v>Объем: 34,5=(6+17)*15/10</v>
      </c>
    </row>
    <row r="576" spans="1:22" ht="14.25" x14ac:dyDescent="0.2">
      <c r="A576" s="19"/>
      <c r="B576" s="19"/>
      <c r="C576" s="19"/>
      <c r="D576" s="19" t="s">
        <v>500</v>
      </c>
      <c r="E576" s="20"/>
      <c r="F576" s="9"/>
      <c r="G576" s="22">
        <f>Source!AO426</f>
        <v>111.15</v>
      </c>
      <c r="H576" s="21" t="str">
        <f>Source!DG426</f>
        <v/>
      </c>
      <c r="I576" s="9">
        <f>Source!AV426</f>
        <v>1</v>
      </c>
      <c r="J576" s="9">
        <f>IF(Source!BA426&lt;&gt; 0, Source!BA426, 1)</f>
        <v>1</v>
      </c>
      <c r="K576" s="22">
        <f>Source!S426</f>
        <v>3834.68</v>
      </c>
      <c r="L576" s="22"/>
    </row>
    <row r="577" spans="1:22" ht="14.25" x14ac:dyDescent="0.2">
      <c r="A577" s="19"/>
      <c r="B577" s="19"/>
      <c r="C577" s="19"/>
      <c r="D577" s="19" t="s">
        <v>508</v>
      </c>
      <c r="E577" s="20"/>
      <c r="F577" s="9"/>
      <c r="G577" s="22">
        <f>Source!AL426</f>
        <v>6.3</v>
      </c>
      <c r="H577" s="21" t="str">
        <f>Source!DD426</f>
        <v/>
      </c>
      <c r="I577" s="9">
        <f>Source!AW426</f>
        <v>1</v>
      </c>
      <c r="J577" s="9">
        <f>IF(Source!BC426&lt;&gt; 0, Source!BC426, 1)</f>
        <v>1</v>
      </c>
      <c r="K577" s="22">
        <f>Source!P426</f>
        <v>217.35</v>
      </c>
      <c r="L577" s="22"/>
    </row>
    <row r="578" spans="1:22" ht="14.25" x14ac:dyDescent="0.2">
      <c r="A578" s="19"/>
      <c r="B578" s="19"/>
      <c r="C578" s="19"/>
      <c r="D578" s="19" t="s">
        <v>501</v>
      </c>
      <c r="E578" s="20" t="s">
        <v>502</v>
      </c>
      <c r="F578" s="9">
        <f>Source!AT426</f>
        <v>70</v>
      </c>
      <c r="G578" s="22"/>
      <c r="H578" s="21"/>
      <c r="I578" s="9"/>
      <c r="J578" s="9"/>
      <c r="K578" s="22">
        <f>SUM(R574:R577)</f>
        <v>2684.28</v>
      </c>
      <c r="L578" s="22"/>
    </row>
    <row r="579" spans="1:22" ht="14.25" x14ac:dyDescent="0.2">
      <c r="A579" s="19"/>
      <c r="B579" s="19"/>
      <c r="C579" s="19"/>
      <c r="D579" s="19" t="s">
        <v>503</v>
      </c>
      <c r="E579" s="20" t="s">
        <v>502</v>
      </c>
      <c r="F579" s="9">
        <f>Source!AU426</f>
        <v>10</v>
      </c>
      <c r="G579" s="22"/>
      <c r="H579" s="21"/>
      <c r="I579" s="9"/>
      <c r="J579" s="9"/>
      <c r="K579" s="22">
        <f>SUM(T574:T578)</f>
        <v>383.47</v>
      </c>
      <c r="L579" s="22"/>
    </row>
    <row r="580" spans="1:22" ht="14.25" x14ac:dyDescent="0.2">
      <c r="A580" s="19"/>
      <c r="B580" s="19"/>
      <c r="C580" s="19"/>
      <c r="D580" s="19" t="s">
        <v>504</v>
      </c>
      <c r="E580" s="20" t="s">
        <v>505</v>
      </c>
      <c r="F580" s="9">
        <f>Source!AQ426</f>
        <v>0.18</v>
      </c>
      <c r="G580" s="22"/>
      <c r="H580" s="21" t="str">
        <f>Source!DI426</f>
        <v/>
      </c>
      <c r="I580" s="9">
        <f>Source!AV426</f>
        <v>1</v>
      </c>
      <c r="J580" s="9"/>
      <c r="K580" s="22"/>
      <c r="L580" s="22">
        <f>Source!U426</f>
        <v>6.21</v>
      </c>
    </row>
    <row r="581" spans="1:22" ht="15" x14ac:dyDescent="0.25">
      <c r="A581" s="25"/>
      <c r="B581" s="25"/>
      <c r="C581" s="25"/>
      <c r="D581" s="25"/>
      <c r="E581" s="25"/>
      <c r="F581" s="25"/>
      <c r="G581" s="25"/>
      <c r="H581" s="25"/>
      <c r="I581" s="25"/>
      <c r="J581" s="52">
        <f>K576+K577+K578+K579</f>
        <v>7119.78</v>
      </c>
      <c r="K581" s="52"/>
      <c r="L581" s="26">
        <f>IF(Source!I426&lt;&gt;0, ROUND(J581/Source!I426, 2), 0)</f>
        <v>206.37</v>
      </c>
      <c r="P581" s="24">
        <f>J581</f>
        <v>7119.78</v>
      </c>
    </row>
    <row r="582" spans="1:22" ht="71.25" x14ac:dyDescent="0.2">
      <c r="A582" s="19">
        <v>56</v>
      </c>
      <c r="B582" s="19">
        <v>56</v>
      </c>
      <c r="C582" s="19" t="str">
        <f>Source!F428</f>
        <v>1.20-2103-20-1/1</v>
      </c>
      <c r="D582" s="19" t="str">
        <f>Source!G428</f>
        <v>Техническое обслуживание датчика движения инфракрасного, встраиваемого в подвесной потолок, для управления освещением - ежемесячное</v>
      </c>
      <c r="E582" s="20" t="str">
        <f>Source!H428</f>
        <v>шт.</v>
      </c>
      <c r="F582" s="9">
        <f>Source!I428</f>
        <v>15</v>
      </c>
      <c r="G582" s="22"/>
      <c r="H582" s="21"/>
      <c r="I582" s="9"/>
      <c r="J582" s="9"/>
      <c r="K582" s="22"/>
      <c r="L582" s="22"/>
      <c r="Q582">
        <f>ROUND((Source!BZ428/100)*ROUND((Source!AF428*Source!AV428)*Source!I428, 2), 2)</f>
        <v>6138.72</v>
      </c>
      <c r="R582">
        <f>Source!X428</f>
        <v>6138.72</v>
      </c>
      <c r="S582">
        <f>ROUND((Source!CA428/100)*ROUND((Source!AF428*Source!AV428)*Source!I428, 2), 2)</f>
        <v>876.96</v>
      </c>
      <c r="T582">
        <f>Source!Y428</f>
        <v>876.96</v>
      </c>
      <c r="U582">
        <f>ROUND((175/100)*ROUND((Source!AE428*Source!AV428)*Source!I428, 2), 2)</f>
        <v>0</v>
      </c>
      <c r="V582">
        <f>ROUND((108/100)*ROUND(Source!CS428*Source!I428, 2), 2)</f>
        <v>0</v>
      </c>
    </row>
    <row r="583" spans="1:22" ht="14.25" x14ac:dyDescent="0.2">
      <c r="A583" s="19"/>
      <c r="B583" s="19"/>
      <c r="C583" s="19"/>
      <c r="D583" s="19" t="s">
        <v>500</v>
      </c>
      <c r="E583" s="20"/>
      <c r="F583" s="9"/>
      <c r="G583" s="22">
        <f>Source!AO428</f>
        <v>146.16</v>
      </c>
      <c r="H583" s="21" t="str">
        <f>Source!DG428</f>
        <v>)*4</v>
      </c>
      <c r="I583" s="9">
        <f>Source!AV428</f>
        <v>1</v>
      </c>
      <c r="J583" s="9">
        <f>IF(Source!BA428&lt;&gt; 0, Source!BA428, 1)</f>
        <v>1</v>
      </c>
      <c r="K583" s="22">
        <f>Source!S428</f>
        <v>8769.6</v>
      </c>
      <c r="L583" s="22"/>
    </row>
    <row r="584" spans="1:22" ht="14.25" x14ac:dyDescent="0.2">
      <c r="A584" s="19"/>
      <c r="B584" s="19"/>
      <c r="C584" s="19"/>
      <c r="D584" s="19" t="s">
        <v>508</v>
      </c>
      <c r="E584" s="20"/>
      <c r="F584" s="9"/>
      <c r="G584" s="22">
        <f>Source!AL428</f>
        <v>1.26</v>
      </c>
      <c r="H584" s="21" t="str">
        <f>Source!DD428</f>
        <v>)*4</v>
      </c>
      <c r="I584" s="9">
        <f>Source!AW428</f>
        <v>1</v>
      </c>
      <c r="J584" s="9">
        <f>IF(Source!BC428&lt;&gt; 0, Source!BC428, 1)</f>
        <v>1</v>
      </c>
      <c r="K584" s="22">
        <f>Source!P428</f>
        <v>75.599999999999994</v>
      </c>
      <c r="L584" s="22"/>
    </row>
    <row r="585" spans="1:22" ht="14.25" x14ac:dyDescent="0.2">
      <c r="A585" s="19"/>
      <c r="B585" s="19"/>
      <c r="C585" s="19"/>
      <c r="D585" s="19" t="s">
        <v>501</v>
      </c>
      <c r="E585" s="20" t="s">
        <v>502</v>
      </c>
      <c r="F585" s="9">
        <f>Source!AT428</f>
        <v>70</v>
      </c>
      <c r="G585" s="22"/>
      <c r="H585" s="21"/>
      <c r="I585" s="9"/>
      <c r="J585" s="9"/>
      <c r="K585" s="22">
        <f>SUM(R582:R584)</f>
        <v>6138.72</v>
      </c>
      <c r="L585" s="22"/>
    </row>
    <row r="586" spans="1:22" ht="14.25" x14ac:dyDescent="0.2">
      <c r="A586" s="19"/>
      <c r="B586" s="19"/>
      <c r="C586" s="19"/>
      <c r="D586" s="19" t="s">
        <v>503</v>
      </c>
      <c r="E586" s="20" t="s">
        <v>502</v>
      </c>
      <c r="F586" s="9">
        <f>Source!AU428</f>
        <v>10</v>
      </c>
      <c r="G586" s="22"/>
      <c r="H586" s="21"/>
      <c r="I586" s="9"/>
      <c r="J586" s="9"/>
      <c r="K586" s="22">
        <f>SUM(T582:T585)</f>
        <v>876.96</v>
      </c>
      <c r="L586" s="22"/>
    </row>
    <row r="587" spans="1:22" ht="14.25" x14ac:dyDescent="0.2">
      <c r="A587" s="19"/>
      <c r="B587" s="19"/>
      <c r="C587" s="19"/>
      <c r="D587" s="19" t="s">
        <v>504</v>
      </c>
      <c r="E587" s="20" t="s">
        <v>505</v>
      </c>
      <c r="F587" s="9">
        <f>Source!AQ428</f>
        <v>0.26</v>
      </c>
      <c r="G587" s="22"/>
      <c r="H587" s="21" t="str">
        <f>Source!DI428</f>
        <v>)*4</v>
      </c>
      <c r="I587" s="9">
        <f>Source!AV428</f>
        <v>1</v>
      </c>
      <c r="J587" s="9"/>
      <c r="K587" s="22"/>
      <c r="L587" s="22">
        <f>Source!U428</f>
        <v>15.600000000000001</v>
      </c>
    </row>
    <row r="588" spans="1:22" ht="15" x14ac:dyDescent="0.25">
      <c r="A588" s="25"/>
      <c r="B588" s="25"/>
      <c r="C588" s="25"/>
      <c r="D588" s="25"/>
      <c r="E588" s="25"/>
      <c r="F588" s="25"/>
      <c r="G588" s="25"/>
      <c r="H588" s="25"/>
      <c r="I588" s="25"/>
      <c r="J588" s="52">
        <f>K583+K584+K585+K586</f>
        <v>15860.880000000001</v>
      </c>
      <c r="K588" s="52"/>
      <c r="L588" s="26">
        <f>IF(Source!I428&lt;&gt;0, ROUND(J588/Source!I428, 2), 0)</f>
        <v>1057.3900000000001</v>
      </c>
      <c r="P588" s="24">
        <f>J588</f>
        <v>15860.880000000001</v>
      </c>
    </row>
    <row r="590" spans="1:22" ht="15" x14ac:dyDescent="0.25">
      <c r="C590" s="55" t="str">
        <f>Source!G432</f>
        <v>Кабели и провода</v>
      </c>
      <c r="D590" s="55"/>
      <c r="E590" s="55"/>
      <c r="F590" s="55"/>
      <c r="G590" s="55"/>
      <c r="H590" s="55"/>
      <c r="I590" s="55"/>
      <c r="J590" s="55"/>
      <c r="K590" s="55"/>
    </row>
    <row r="591" spans="1:22" ht="57" x14ac:dyDescent="0.2">
      <c r="A591" s="19">
        <v>57</v>
      </c>
      <c r="B591" s="19">
        <v>57</v>
      </c>
      <c r="C591" s="19" t="str">
        <f>Source!F433</f>
        <v>1.21-2103-9-2/1</v>
      </c>
      <c r="D591" s="19" t="str">
        <f>Source!G433</f>
        <v>Техническое обслуживание силовых сетей, проложенных по кирпичным и бетонным основаниям, провод сечением 3х1,5-6 мм2 / прим. 3х2,5</v>
      </c>
      <c r="E591" s="20" t="str">
        <f>Source!H433</f>
        <v>100 м</v>
      </c>
      <c r="F591" s="9">
        <f>Source!I433</f>
        <v>0.48299999999999998</v>
      </c>
      <c r="G591" s="22"/>
      <c r="H591" s="21"/>
      <c r="I591" s="9"/>
      <c r="J591" s="9"/>
      <c r="K591" s="22"/>
      <c r="L591" s="22"/>
      <c r="Q591">
        <f>ROUND((Source!BZ433/100)*ROUND((Source!AF433*Source!AV433)*Source!I433, 2), 2)</f>
        <v>1809.9</v>
      </c>
      <c r="R591">
        <f>Source!X433</f>
        <v>1809.9</v>
      </c>
      <c r="S591">
        <f>ROUND((Source!CA433/100)*ROUND((Source!AF433*Source!AV433)*Source!I433, 2), 2)</f>
        <v>258.56</v>
      </c>
      <c r="T591">
        <f>Source!Y433</f>
        <v>258.56</v>
      </c>
      <c r="U591">
        <f>ROUND((175/100)*ROUND((Source!AE433*Source!AV433)*Source!I433, 2), 2)</f>
        <v>0</v>
      </c>
      <c r="V591">
        <f>ROUND((108/100)*ROUND(Source!CS433*Source!I433, 2), 2)</f>
        <v>0</v>
      </c>
    </row>
    <row r="592" spans="1:22" x14ac:dyDescent="0.2">
      <c r="D592" s="23" t="str">
        <f>"Объем: "&amp;Source!I433&amp;"=(161*"&amp;"15)*"&amp;"0,2*"&amp;"0,1/"&amp;"100"</f>
        <v>Объем: 0,483=(161*15)*0,2*0,1/100</v>
      </c>
    </row>
    <row r="593" spans="1:22" ht="14.25" x14ac:dyDescent="0.2">
      <c r="A593" s="19"/>
      <c r="B593" s="19"/>
      <c r="C593" s="19"/>
      <c r="D593" s="19" t="s">
        <v>500</v>
      </c>
      <c r="E593" s="20"/>
      <c r="F593" s="9"/>
      <c r="G593" s="22">
        <f>Source!AO433</f>
        <v>5353.15</v>
      </c>
      <c r="H593" s="21" t="str">
        <f>Source!DG433</f>
        <v/>
      </c>
      <c r="I593" s="9">
        <f>Source!AV433</f>
        <v>1</v>
      </c>
      <c r="J593" s="9">
        <f>IF(Source!BA433&lt;&gt; 0, Source!BA433, 1)</f>
        <v>1</v>
      </c>
      <c r="K593" s="22">
        <f>Source!S433</f>
        <v>2585.5700000000002</v>
      </c>
      <c r="L593" s="22"/>
    </row>
    <row r="594" spans="1:22" ht="14.25" x14ac:dyDescent="0.2">
      <c r="A594" s="19"/>
      <c r="B594" s="19"/>
      <c r="C594" s="19"/>
      <c r="D594" s="19" t="s">
        <v>508</v>
      </c>
      <c r="E594" s="20"/>
      <c r="F594" s="9"/>
      <c r="G594" s="22">
        <f>Source!AL433</f>
        <v>22.51</v>
      </c>
      <c r="H594" s="21" t="str">
        <f>Source!DD433</f>
        <v/>
      </c>
      <c r="I594" s="9">
        <f>Source!AW433</f>
        <v>1</v>
      </c>
      <c r="J594" s="9">
        <f>IF(Source!BC433&lt;&gt; 0, Source!BC433, 1)</f>
        <v>1</v>
      </c>
      <c r="K594" s="22">
        <f>Source!P433</f>
        <v>10.87</v>
      </c>
      <c r="L594" s="22"/>
    </row>
    <row r="595" spans="1:22" ht="14.25" x14ac:dyDescent="0.2">
      <c r="A595" s="19"/>
      <c r="B595" s="19"/>
      <c r="C595" s="19"/>
      <c r="D595" s="19" t="s">
        <v>501</v>
      </c>
      <c r="E595" s="20" t="s">
        <v>502</v>
      </c>
      <c r="F595" s="9">
        <f>Source!AT433</f>
        <v>70</v>
      </c>
      <c r="G595" s="22"/>
      <c r="H595" s="21"/>
      <c r="I595" s="9"/>
      <c r="J595" s="9"/>
      <c r="K595" s="22">
        <f>SUM(R591:R594)</f>
        <v>1809.9</v>
      </c>
      <c r="L595" s="22"/>
    </row>
    <row r="596" spans="1:22" ht="14.25" x14ac:dyDescent="0.2">
      <c r="A596" s="19"/>
      <c r="B596" s="19"/>
      <c r="C596" s="19"/>
      <c r="D596" s="19" t="s">
        <v>503</v>
      </c>
      <c r="E596" s="20" t="s">
        <v>502</v>
      </c>
      <c r="F596" s="9">
        <f>Source!AU433</f>
        <v>10</v>
      </c>
      <c r="G596" s="22"/>
      <c r="H596" s="21"/>
      <c r="I596" s="9"/>
      <c r="J596" s="9"/>
      <c r="K596" s="22">
        <f>SUM(T591:T595)</f>
        <v>258.56</v>
      </c>
      <c r="L596" s="22"/>
    </row>
    <row r="597" spans="1:22" ht="14.25" x14ac:dyDescent="0.2">
      <c r="A597" s="19"/>
      <c r="B597" s="19"/>
      <c r="C597" s="19"/>
      <c r="D597" s="19" t="s">
        <v>504</v>
      </c>
      <c r="E597" s="20" t="s">
        <v>505</v>
      </c>
      <c r="F597" s="9">
        <f>Source!AQ433</f>
        <v>10</v>
      </c>
      <c r="G597" s="22"/>
      <c r="H597" s="21" t="str">
        <f>Source!DI433</f>
        <v/>
      </c>
      <c r="I597" s="9">
        <f>Source!AV433</f>
        <v>1</v>
      </c>
      <c r="J597" s="9"/>
      <c r="K597" s="22"/>
      <c r="L597" s="22">
        <f>Source!U433</f>
        <v>4.83</v>
      </c>
    </row>
    <row r="598" spans="1:22" ht="15" x14ac:dyDescent="0.25">
      <c r="A598" s="25"/>
      <c r="B598" s="25"/>
      <c r="C598" s="25"/>
      <c r="D598" s="25"/>
      <c r="E598" s="25"/>
      <c r="F598" s="25"/>
      <c r="G598" s="25"/>
      <c r="H598" s="25"/>
      <c r="I598" s="25"/>
      <c r="J598" s="52">
        <f>K593+K594+K595+K596</f>
        <v>4664.9000000000005</v>
      </c>
      <c r="K598" s="52"/>
      <c r="L598" s="26">
        <f>IF(Source!I433&lt;&gt;0, ROUND(J598/Source!I433, 2), 0)</f>
        <v>9658.18</v>
      </c>
      <c r="P598" s="24">
        <f>J598</f>
        <v>4664.9000000000005</v>
      </c>
    </row>
    <row r="599" spans="1:22" ht="57" x14ac:dyDescent="0.2">
      <c r="A599" s="19">
        <v>58</v>
      </c>
      <c r="B599" s="19">
        <v>58</v>
      </c>
      <c r="C599" s="19" t="str">
        <f>Source!F435</f>
        <v>1.21-2103-9-2/1</v>
      </c>
      <c r="D599" s="19" t="str">
        <f>Source!G435</f>
        <v>Техническое обслуживание силовых сетей, проложенных по кирпичным и бетонным основаниям, провод сечением 3х1,5-6 мм2</v>
      </c>
      <c r="E599" s="20" t="str">
        <f>Source!H435</f>
        <v>100 м</v>
      </c>
      <c r="F599" s="9">
        <f>Source!I435</f>
        <v>0.36899999999999999</v>
      </c>
      <c r="G599" s="22"/>
      <c r="H599" s="21"/>
      <c r="I599" s="9"/>
      <c r="J599" s="9"/>
      <c r="K599" s="22"/>
      <c r="L599" s="22"/>
      <c r="Q599">
        <f>ROUND((Source!BZ435/100)*ROUND((Source!AF435*Source!AV435)*Source!I435, 2), 2)</f>
        <v>1382.72</v>
      </c>
      <c r="R599">
        <f>Source!X435</f>
        <v>1382.72</v>
      </c>
      <c r="S599">
        <f>ROUND((Source!CA435/100)*ROUND((Source!AF435*Source!AV435)*Source!I435, 2), 2)</f>
        <v>197.53</v>
      </c>
      <c r="T599">
        <f>Source!Y435</f>
        <v>197.53</v>
      </c>
      <c r="U599">
        <f>ROUND((175/100)*ROUND((Source!AE435*Source!AV435)*Source!I435, 2), 2)</f>
        <v>0</v>
      </c>
      <c r="V599">
        <f>ROUND((108/100)*ROUND(Source!CS435*Source!I435, 2), 2)</f>
        <v>0</v>
      </c>
    </row>
    <row r="600" spans="1:22" x14ac:dyDescent="0.2">
      <c r="D600" s="23" t="str">
        <f>"Объем: "&amp;Source!I435&amp;"=(123*"&amp;"15)*"&amp;"0,2*"&amp;"0,1/"&amp;"100"</f>
        <v>Объем: 0,369=(123*15)*0,2*0,1/100</v>
      </c>
    </row>
    <row r="601" spans="1:22" ht="14.25" x14ac:dyDescent="0.2">
      <c r="A601" s="19"/>
      <c r="B601" s="19"/>
      <c r="C601" s="19"/>
      <c r="D601" s="19" t="s">
        <v>500</v>
      </c>
      <c r="E601" s="20"/>
      <c r="F601" s="9"/>
      <c r="G601" s="22">
        <f>Source!AO435</f>
        <v>5353.15</v>
      </c>
      <c r="H601" s="21" t="str">
        <f>Source!DG435</f>
        <v/>
      </c>
      <c r="I601" s="9">
        <f>Source!AV435</f>
        <v>1</v>
      </c>
      <c r="J601" s="9">
        <f>IF(Source!BA435&lt;&gt; 0, Source!BA435, 1)</f>
        <v>1</v>
      </c>
      <c r="K601" s="22">
        <f>Source!S435</f>
        <v>1975.31</v>
      </c>
      <c r="L601" s="22"/>
    </row>
    <row r="602" spans="1:22" ht="14.25" x14ac:dyDescent="0.2">
      <c r="A602" s="19"/>
      <c r="B602" s="19"/>
      <c r="C602" s="19"/>
      <c r="D602" s="19" t="s">
        <v>508</v>
      </c>
      <c r="E602" s="20"/>
      <c r="F602" s="9"/>
      <c r="G602" s="22">
        <f>Source!AL435</f>
        <v>22.51</v>
      </c>
      <c r="H602" s="21" t="str">
        <f>Source!DD435</f>
        <v/>
      </c>
      <c r="I602" s="9">
        <f>Source!AW435</f>
        <v>1</v>
      </c>
      <c r="J602" s="9">
        <f>IF(Source!BC435&lt;&gt; 0, Source!BC435, 1)</f>
        <v>1</v>
      </c>
      <c r="K602" s="22">
        <f>Source!P435</f>
        <v>8.31</v>
      </c>
      <c r="L602" s="22"/>
    </row>
    <row r="603" spans="1:22" ht="14.25" x14ac:dyDescent="0.2">
      <c r="A603" s="19"/>
      <c r="B603" s="19"/>
      <c r="C603" s="19"/>
      <c r="D603" s="19" t="s">
        <v>501</v>
      </c>
      <c r="E603" s="20" t="s">
        <v>502</v>
      </c>
      <c r="F603" s="9">
        <f>Source!AT435</f>
        <v>70</v>
      </c>
      <c r="G603" s="22"/>
      <c r="H603" s="21"/>
      <c r="I603" s="9"/>
      <c r="J603" s="9"/>
      <c r="K603" s="22">
        <f>SUM(R599:R602)</f>
        <v>1382.72</v>
      </c>
      <c r="L603" s="22"/>
    </row>
    <row r="604" spans="1:22" ht="14.25" x14ac:dyDescent="0.2">
      <c r="A604" s="19"/>
      <c r="B604" s="19"/>
      <c r="C604" s="19"/>
      <c r="D604" s="19" t="s">
        <v>503</v>
      </c>
      <c r="E604" s="20" t="s">
        <v>502</v>
      </c>
      <c r="F604" s="9">
        <f>Source!AU435</f>
        <v>10</v>
      </c>
      <c r="G604" s="22"/>
      <c r="H604" s="21"/>
      <c r="I604" s="9"/>
      <c r="J604" s="9"/>
      <c r="K604" s="22">
        <f>SUM(T599:T603)</f>
        <v>197.53</v>
      </c>
      <c r="L604" s="22"/>
    </row>
    <row r="605" spans="1:22" ht="14.25" x14ac:dyDescent="0.2">
      <c r="A605" s="19"/>
      <c r="B605" s="19"/>
      <c r="C605" s="19"/>
      <c r="D605" s="19" t="s">
        <v>504</v>
      </c>
      <c r="E605" s="20" t="s">
        <v>505</v>
      </c>
      <c r="F605" s="9">
        <f>Source!AQ435</f>
        <v>10</v>
      </c>
      <c r="G605" s="22"/>
      <c r="H605" s="21" t="str">
        <f>Source!DI435</f>
        <v/>
      </c>
      <c r="I605" s="9">
        <f>Source!AV435</f>
        <v>1</v>
      </c>
      <c r="J605" s="9"/>
      <c r="K605" s="22"/>
      <c r="L605" s="22">
        <f>Source!U435</f>
        <v>3.69</v>
      </c>
    </row>
    <row r="606" spans="1:22" ht="15" x14ac:dyDescent="0.25">
      <c r="A606" s="25"/>
      <c r="B606" s="25"/>
      <c r="C606" s="25"/>
      <c r="D606" s="25"/>
      <c r="E606" s="25"/>
      <c r="F606" s="25"/>
      <c r="G606" s="25"/>
      <c r="H606" s="25"/>
      <c r="I606" s="25"/>
      <c r="J606" s="52">
        <f>K601+K602+K603+K604</f>
        <v>3563.8700000000003</v>
      </c>
      <c r="K606" s="52"/>
      <c r="L606" s="26">
        <f>IF(Source!I435&lt;&gt;0, ROUND(J606/Source!I435, 2), 0)</f>
        <v>9658.18</v>
      </c>
      <c r="P606" s="24">
        <f>J606</f>
        <v>3563.8700000000003</v>
      </c>
    </row>
    <row r="608" spans="1:22" ht="15" x14ac:dyDescent="0.25">
      <c r="C608" s="55" t="str">
        <f>Source!G439</f>
        <v>Прочее электрооборудование</v>
      </c>
      <c r="D608" s="55"/>
      <c r="E608" s="55"/>
      <c r="F608" s="55"/>
      <c r="G608" s="55"/>
      <c r="H608" s="55"/>
      <c r="I608" s="55"/>
      <c r="J608" s="55"/>
      <c r="K608" s="55"/>
    </row>
    <row r="609" spans="1:32" ht="57" x14ac:dyDescent="0.2">
      <c r="A609" s="19">
        <v>59</v>
      </c>
      <c r="B609" s="19">
        <v>59</v>
      </c>
      <c r="C609" s="19" t="str">
        <f>Source!F440</f>
        <v>1.21-2103-9-2/1</v>
      </c>
      <c r="D609" s="19" t="str">
        <f>Source!G440</f>
        <v>Техническое обслуживание силовых сетей, проложенных по кирпичным и бетонным основаниям, провод сечением 3х1,5-6 мм2/ кабель греющий</v>
      </c>
      <c r="E609" s="20" t="str">
        <f>Source!H440</f>
        <v>100 м</v>
      </c>
      <c r="F609" s="9">
        <f>Source!I440</f>
        <v>1.4999999999999999E-2</v>
      </c>
      <c r="G609" s="22"/>
      <c r="H609" s="21"/>
      <c r="I609" s="9"/>
      <c r="J609" s="9"/>
      <c r="K609" s="22"/>
      <c r="L609" s="22"/>
      <c r="Q609">
        <f>ROUND((Source!BZ440/100)*ROUND((Source!AF440*Source!AV440)*Source!I440, 2), 2)</f>
        <v>56.21</v>
      </c>
      <c r="R609">
        <f>Source!X440</f>
        <v>56.21</v>
      </c>
      <c r="S609">
        <f>ROUND((Source!CA440/100)*ROUND((Source!AF440*Source!AV440)*Source!I440, 2), 2)</f>
        <v>8.0299999999999994</v>
      </c>
      <c r="T609">
        <f>Source!Y440</f>
        <v>8.0299999999999994</v>
      </c>
      <c r="U609">
        <f>ROUND((175/100)*ROUND((Source!AE440*Source!AV440)*Source!I440, 2), 2)</f>
        <v>0</v>
      </c>
      <c r="V609">
        <f>ROUND((108/100)*ROUND(Source!CS440*Source!I440, 2), 2)</f>
        <v>0</v>
      </c>
    </row>
    <row r="610" spans="1:32" x14ac:dyDescent="0.2">
      <c r="D610" s="23" t="str">
        <f>"Объем: "&amp;Source!I440&amp;"=(5*"&amp;"15)*"&amp;"0,2*"&amp;"0,1/"&amp;"100"</f>
        <v>Объем: 0,015=(5*15)*0,2*0,1/100</v>
      </c>
    </row>
    <row r="611" spans="1:32" ht="14.25" x14ac:dyDescent="0.2">
      <c r="A611" s="19"/>
      <c r="B611" s="19"/>
      <c r="C611" s="19"/>
      <c r="D611" s="19" t="s">
        <v>500</v>
      </c>
      <c r="E611" s="20"/>
      <c r="F611" s="9"/>
      <c r="G611" s="22">
        <f>Source!AO440</f>
        <v>5353.15</v>
      </c>
      <c r="H611" s="21" t="str">
        <f>Source!DG440</f>
        <v/>
      </c>
      <c r="I611" s="9">
        <f>Source!AV440</f>
        <v>1</v>
      </c>
      <c r="J611" s="9">
        <f>IF(Source!BA440&lt;&gt; 0, Source!BA440, 1)</f>
        <v>1</v>
      </c>
      <c r="K611" s="22">
        <f>Source!S440</f>
        <v>80.3</v>
      </c>
      <c r="L611" s="22"/>
    </row>
    <row r="612" spans="1:32" ht="14.25" x14ac:dyDescent="0.2">
      <c r="A612" s="19"/>
      <c r="B612" s="19"/>
      <c r="C612" s="19"/>
      <c r="D612" s="19" t="s">
        <v>508</v>
      </c>
      <c r="E612" s="20"/>
      <c r="F612" s="9"/>
      <c r="G612" s="22">
        <f>Source!AL440</f>
        <v>22.51</v>
      </c>
      <c r="H612" s="21" t="str">
        <f>Source!DD440</f>
        <v/>
      </c>
      <c r="I612" s="9">
        <f>Source!AW440</f>
        <v>1</v>
      </c>
      <c r="J612" s="9">
        <f>IF(Source!BC440&lt;&gt; 0, Source!BC440, 1)</f>
        <v>1</v>
      </c>
      <c r="K612" s="22">
        <f>Source!P440</f>
        <v>0.34</v>
      </c>
      <c r="L612" s="22"/>
    </row>
    <row r="613" spans="1:32" ht="14.25" x14ac:dyDescent="0.2">
      <c r="A613" s="19"/>
      <c r="B613" s="19"/>
      <c r="C613" s="19"/>
      <c r="D613" s="19" t="s">
        <v>501</v>
      </c>
      <c r="E613" s="20" t="s">
        <v>502</v>
      </c>
      <c r="F613" s="9">
        <f>Source!AT440</f>
        <v>70</v>
      </c>
      <c r="G613" s="22"/>
      <c r="H613" s="21"/>
      <c r="I613" s="9"/>
      <c r="J613" s="9"/>
      <c r="K613" s="22">
        <f>SUM(R609:R612)</f>
        <v>56.21</v>
      </c>
      <c r="L613" s="22"/>
    </row>
    <row r="614" spans="1:32" ht="14.25" x14ac:dyDescent="0.2">
      <c r="A614" s="19"/>
      <c r="B614" s="19"/>
      <c r="C614" s="19"/>
      <c r="D614" s="19" t="s">
        <v>503</v>
      </c>
      <c r="E614" s="20" t="s">
        <v>502</v>
      </c>
      <c r="F614" s="9">
        <f>Source!AU440</f>
        <v>10</v>
      </c>
      <c r="G614" s="22"/>
      <c r="H614" s="21"/>
      <c r="I614" s="9"/>
      <c r="J614" s="9"/>
      <c r="K614" s="22">
        <f>SUM(T609:T613)</f>
        <v>8.0299999999999994</v>
      </c>
      <c r="L614" s="22"/>
    </row>
    <row r="615" spans="1:32" ht="14.25" x14ac:dyDescent="0.2">
      <c r="A615" s="19"/>
      <c r="B615" s="19"/>
      <c r="C615" s="19"/>
      <c r="D615" s="19" t="s">
        <v>504</v>
      </c>
      <c r="E615" s="20" t="s">
        <v>505</v>
      </c>
      <c r="F615" s="9">
        <f>Source!AQ440</f>
        <v>10</v>
      </c>
      <c r="G615" s="22"/>
      <c r="H615" s="21" t="str">
        <f>Source!DI440</f>
        <v/>
      </c>
      <c r="I615" s="9">
        <f>Source!AV440</f>
        <v>1</v>
      </c>
      <c r="J615" s="9"/>
      <c r="K615" s="22"/>
      <c r="L615" s="22">
        <f>Source!U440</f>
        <v>0.15</v>
      </c>
    </row>
    <row r="616" spans="1:32" ht="15" x14ac:dyDescent="0.25">
      <c r="A616" s="25"/>
      <c r="B616" s="25"/>
      <c r="C616" s="25"/>
      <c r="D616" s="25"/>
      <c r="E616" s="25"/>
      <c r="F616" s="25"/>
      <c r="G616" s="25"/>
      <c r="H616" s="25"/>
      <c r="I616" s="25"/>
      <c r="J616" s="52">
        <f>K611+K612+K613+K614</f>
        <v>144.88</v>
      </c>
      <c r="K616" s="52"/>
      <c r="L616" s="26">
        <f>IF(Source!I440&lt;&gt;0, ROUND(J616/Source!I440, 2), 0)</f>
        <v>9658.67</v>
      </c>
      <c r="P616" s="24">
        <f>J616</f>
        <v>144.88</v>
      </c>
    </row>
    <row r="618" spans="1:32" ht="15" x14ac:dyDescent="0.25">
      <c r="A618" s="54" t="str">
        <f>CONCATENATE("Итого по подразделу: ",IF(Source!G443&lt;&gt;"Новый подраздел", Source!G443, ""))</f>
        <v>Итого по подразделу: Система электроснабжения</v>
      </c>
      <c r="B618" s="54"/>
      <c r="C618" s="54"/>
      <c r="D618" s="54"/>
      <c r="E618" s="54"/>
      <c r="F618" s="54"/>
      <c r="G618" s="54"/>
      <c r="H618" s="54"/>
      <c r="I618" s="54"/>
      <c r="J618" s="53">
        <f>SUM(P485:P617)</f>
        <v>821610.15000000014</v>
      </c>
      <c r="K618" s="73"/>
      <c r="L618" s="28"/>
    </row>
    <row r="621" spans="1:32" ht="30" x14ac:dyDescent="0.25">
      <c r="A621" s="54" t="str">
        <f>CONCATENATE("Итого по разделу: ",IF(Source!G473&lt;&gt;"Новый раздел", Source!G473, ""))</f>
        <v>Итого по разделу: Дом односекционный  (15 шт.) по адресу: г. Москва, городское поселение Краснопахорское, квартал 107</v>
      </c>
      <c r="B621" s="54"/>
      <c r="C621" s="54"/>
      <c r="D621" s="54"/>
      <c r="E621" s="54"/>
      <c r="F621" s="54"/>
      <c r="G621" s="54"/>
      <c r="H621" s="54"/>
      <c r="I621" s="54"/>
      <c r="J621" s="53">
        <f>SUM(P320:P620)</f>
        <v>1144010.0399999998</v>
      </c>
      <c r="K621" s="73"/>
      <c r="L621" s="28"/>
      <c r="AF621" s="29" t="str">
        <f>CONCATENATE("Итого по разделу: ",IF(Source!G473&lt;&gt;"Новый раздел", Source!G473, ""))</f>
        <v>Итого по разделу: Дом односекционный  (15 шт.) по адресу: г. Москва, городское поселение Краснопахорское, квартал 107</v>
      </c>
    </row>
    <row r="624" spans="1:32" ht="16.5" x14ac:dyDescent="0.25">
      <c r="A624" s="51" t="str">
        <f>CONCATENATE("Раздел: ",IF(Source!G503&lt;&gt;"Новый раздел", Source!G503, ""))</f>
        <v>Раздел: Дом двухсекционный  (10 шт.) по адресу: г. Москва, городское поселение Краснопахорское, квартал 107</v>
      </c>
      <c r="B624" s="51"/>
      <c r="C624" s="51"/>
      <c r="D624" s="51"/>
      <c r="E624" s="51"/>
      <c r="F624" s="51"/>
      <c r="G624" s="51"/>
      <c r="H624" s="51"/>
      <c r="I624" s="51"/>
      <c r="J624" s="51"/>
      <c r="K624" s="51"/>
      <c r="L624" s="51"/>
      <c r="AE624" s="18" t="str">
        <f>CONCATENATE("Раздел: ",IF(Source!G503&lt;&gt;"Новый раздел", Source!G503, ""))</f>
        <v>Раздел: Дом двухсекционный  (10 шт.) по адресу: г. Москва, городское поселение Краснопахорское, квартал 107</v>
      </c>
    </row>
    <row r="626" spans="1:22" ht="16.5" x14ac:dyDescent="0.25">
      <c r="A626" s="51" t="str">
        <f>CONCATENATE("Подраздел: ",IF(Source!G507&lt;&gt;"Новый подраздел", Source!G507, ""))</f>
        <v>Подраздел: Система внутреннего водоснабжения и водоотведения</v>
      </c>
      <c r="B626" s="51"/>
      <c r="C626" s="51"/>
      <c r="D626" s="51"/>
      <c r="E626" s="51"/>
      <c r="F626" s="51"/>
      <c r="G626" s="51"/>
      <c r="H626" s="51"/>
      <c r="I626" s="51"/>
      <c r="J626" s="51"/>
      <c r="K626" s="51"/>
      <c r="L626" s="51"/>
    </row>
    <row r="627" spans="1:22" ht="28.5" x14ac:dyDescent="0.2">
      <c r="A627" s="19">
        <v>60</v>
      </c>
      <c r="B627" s="19">
        <v>60</v>
      </c>
      <c r="C627" s="19" t="str">
        <f>Source!F513</f>
        <v>1.16-3201-2-1/1</v>
      </c>
      <c r="D627" s="19" t="str">
        <f>Source!G513</f>
        <v>Укрепление расшатавшихся санитарно-технических приборов - умывальники</v>
      </c>
      <c r="E627" s="20" t="str">
        <f>Source!H513</f>
        <v>100 шт.</v>
      </c>
      <c r="F627" s="9">
        <f>Source!I513</f>
        <v>0.1</v>
      </c>
      <c r="G627" s="22"/>
      <c r="H627" s="21"/>
      <c r="I627" s="9"/>
      <c r="J627" s="9"/>
      <c r="K627" s="22"/>
      <c r="L627" s="22"/>
      <c r="Q627">
        <f>ROUND((Source!BZ513/100)*ROUND((Source!AF513*Source!AV513)*Source!I513, 2), 2)</f>
        <v>3705.48</v>
      </c>
      <c r="R627">
        <f>Source!X513</f>
        <v>3705.48</v>
      </c>
      <c r="S627">
        <f>ROUND((Source!CA513/100)*ROUND((Source!AF513*Source!AV513)*Source!I513, 2), 2)</f>
        <v>529.35</v>
      </c>
      <c r="T627">
        <f>Source!Y513</f>
        <v>529.35</v>
      </c>
      <c r="U627">
        <f>ROUND((175/100)*ROUND((Source!AE513*Source!AV513)*Source!I513, 2), 2)</f>
        <v>0.12</v>
      </c>
      <c r="V627">
        <f>ROUND((108/100)*ROUND(Source!CS513*Source!I513, 2), 2)</f>
        <v>0.08</v>
      </c>
    </row>
    <row r="628" spans="1:22" x14ac:dyDescent="0.2">
      <c r="D628" s="23" t="str">
        <f>"Объем: "&amp;Source!I513&amp;"=(10)*"&amp;"1/"&amp;"100"</f>
        <v>Объем: 0,1=(10)*1/100</v>
      </c>
    </row>
    <row r="629" spans="1:22" ht="14.25" x14ac:dyDescent="0.2">
      <c r="A629" s="19"/>
      <c r="B629" s="19"/>
      <c r="C629" s="19"/>
      <c r="D629" s="19" t="s">
        <v>500</v>
      </c>
      <c r="E629" s="20"/>
      <c r="F629" s="9"/>
      <c r="G629" s="22">
        <f>Source!AO513</f>
        <v>52935.41</v>
      </c>
      <c r="H629" s="21" t="str">
        <f>Source!DG513</f>
        <v/>
      </c>
      <c r="I629" s="9">
        <f>Source!AV513</f>
        <v>1</v>
      </c>
      <c r="J629" s="9">
        <f>IF(Source!BA513&lt;&gt; 0, Source!BA513, 1)</f>
        <v>1</v>
      </c>
      <c r="K629" s="22">
        <f>Source!S513</f>
        <v>5293.54</v>
      </c>
      <c r="L629" s="22"/>
    </row>
    <row r="630" spans="1:22" ht="14.25" x14ac:dyDescent="0.2">
      <c r="A630" s="19"/>
      <c r="B630" s="19"/>
      <c r="C630" s="19"/>
      <c r="D630" s="19" t="s">
        <v>506</v>
      </c>
      <c r="E630" s="20"/>
      <c r="F630" s="9"/>
      <c r="G630" s="22">
        <f>Source!AM513</f>
        <v>61.83</v>
      </c>
      <c r="H630" s="21" t="str">
        <f>Source!DE513</f>
        <v/>
      </c>
      <c r="I630" s="9">
        <f>Source!AV513</f>
        <v>1</v>
      </c>
      <c r="J630" s="9">
        <f>IF(Source!BB513&lt;&gt; 0, Source!BB513, 1)</f>
        <v>1</v>
      </c>
      <c r="K630" s="22">
        <f>Source!Q513</f>
        <v>6.18</v>
      </c>
      <c r="L630" s="22"/>
    </row>
    <row r="631" spans="1:22" ht="14.25" x14ac:dyDescent="0.2">
      <c r="A631" s="19"/>
      <c r="B631" s="19"/>
      <c r="C631" s="19"/>
      <c r="D631" s="19" t="s">
        <v>507</v>
      </c>
      <c r="E631" s="20"/>
      <c r="F631" s="9"/>
      <c r="G631" s="22">
        <f>Source!AN513</f>
        <v>0.7</v>
      </c>
      <c r="H631" s="21" t="str">
        <f>Source!DF513</f>
        <v/>
      </c>
      <c r="I631" s="9">
        <f>Source!AV513</f>
        <v>1</v>
      </c>
      <c r="J631" s="9">
        <f>IF(Source!BS513&lt;&gt; 0, Source!BS513, 1)</f>
        <v>1</v>
      </c>
      <c r="K631" s="27">
        <f>Source!R513</f>
        <v>7.0000000000000007E-2</v>
      </c>
      <c r="L631" s="22"/>
    </row>
    <row r="632" spans="1:22" ht="14.25" x14ac:dyDescent="0.2">
      <c r="A632" s="19"/>
      <c r="B632" s="19"/>
      <c r="C632" s="19"/>
      <c r="D632" s="19" t="s">
        <v>508</v>
      </c>
      <c r="E632" s="20"/>
      <c r="F632" s="9"/>
      <c r="G632" s="22">
        <f>Source!AL513</f>
        <v>776.55</v>
      </c>
      <c r="H632" s="21" t="str">
        <f>Source!DD513</f>
        <v/>
      </c>
      <c r="I632" s="9">
        <f>Source!AW513</f>
        <v>1</v>
      </c>
      <c r="J632" s="9">
        <f>IF(Source!BC513&lt;&gt; 0, Source!BC513, 1)</f>
        <v>1</v>
      </c>
      <c r="K632" s="22">
        <f>Source!P513</f>
        <v>77.66</v>
      </c>
      <c r="L632" s="22"/>
    </row>
    <row r="633" spans="1:22" ht="14.25" x14ac:dyDescent="0.2">
      <c r="A633" s="19"/>
      <c r="B633" s="19"/>
      <c r="C633" s="19"/>
      <c r="D633" s="19" t="s">
        <v>501</v>
      </c>
      <c r="E633" s="20" t="s">
        <v>502</v>
      </c>
      <c r="F633" s="9">
        <f>Source!AT513</f>
        <v>70</v>
      </c>
      <c r="G633" s="22"/>
      <c r="H633" s="21"/>
      <c r="I633" s="9"/>
      <c r="J633" s="9"/>
      <c r="K633" s="22">
        <f>SUM(R627:R632)</f>
        <v>3705.48</v>
      </c>
      <c r="L633" s="22"/>
    </row>
    <row r="634" spans="1:22" ht="14.25" x14ac:dyDescent="0.2">
      <c r="A634" s="19"/>
      <c r="B634" s="19"/>
      <c r="C634" s="19"/>
      <c r="D634" s="19" t="s">
        <v>503</v>
      </c>
      <c r="E634" s="20" t="s">
        <v>502</v>
      </c>
      <c r="F634" s="9">
        <f>Source!AU513</f>
        <v>10</v>
      </c>
      <c r="G634" s="22"/>
      <c r="H634" s="21"/>
      <c r="I634" s="9"/>
      <c r="J634" s="9"/>
      <c r="K634" s="22">
        <f>SUM(T627:T633)</f>
        <v>529.35</v>
      </c>
      <c r="L634" s="22"/>
    </row>
    <row r="635" spans="1:22" ht="14.25" x14ac:dyDescent="0.2">
      <c r="A635" s="19"/>
      <c r="B635" s="19"/>
      <c r="C635" s="19"/>
      <c r="D635" s="19" t="s">
        <v>509</v>
      </c>
      <c r="E635" s="20" t="s">
        <v>502</v>
      </c>
      <c r="F635" s="9">
        <f>108</f>
        <v>108</v>
      </c>
      <c r="G635" s="22"/>
      <c r="H635" s="21"/>
      <c r="I635" s="9"/>
      <c r="J635" s="9"/>
      <c r="K635" s="22">
        <f>SUM(V627:V634)</f>
        <v>0.08</v>
      </c>
      <c r="L635" s="22"/>
    </row>
    <row r="636" spans="1:22" ht="14.25" x14ac:dyDescent="0.2">
      <c r="A636" s="19"/>
      <c r="B636" s="19"/>
      <c r="C636" s="19"/>
      <c r="D636" s="19" t="s">
        <v>504</v>
      </c>
      <c r="E636" s="20" t="s">
        <v>505</v>
      </c>
      <c r="F636" s="9">
        <f>Source!AQ513</f>
        <v>104.44</v>
      </c>
      <c r="G636" s="22"/>
      <c r="H636" s="21" t="str">
        <f>Source!DI513</f>
        <v/>
      </c>
      <c r="I636" s="9">
        <f>Source!AV513</f>
        <v>1</v>
      </c>
      <c r="J636" s="9"/>
      <c r="K636" s="22"/>
      <c r="L636" s="22">
        <f>Source!U513</f>
        <v>10.444000000000001</v>
      </c>
    </row>
    <row r="637" spans="1:22" ht="15" x14ac:dyDescent="0.25">
      <c r="A637" s="25"/>
      <c r="B637" s="25"/>
      <c r="C637" s="25"/>
      <c r="D637" s="25"/>
      <c r="E637" s="25"/>
      <c r="F637" s="25"/>
      <c r="G637" s="25"/>
      <c r="H637" s="25"/>
      <c r="I637" s="25"/>
      <c r="J637" s="52">
        <f>K629+K630+K632+K633+K634+K635</f>
        <v>9612.2900000000009</v>
      </c>
      <c r="K637" s="52"/>
      <c r="L637" s="26">
        <f>IF(Source!I513&lt;&gt;0, ROUND(J637/Source!I513, 2), 0)</f>
        <v>96122.9</v>
      </c>
      <c r="P637" s="24">
        <f>J637</f>
        <v>9612.2900000000009</v>
      </c>
    </row>
    <row r="638" spans="1:22" ht="42.75" x14ac:dyDescent="0.2">
      <c r="A638" s="19">
        <v>61</v>
      </c>
      <c r="B638" s="19">
        <v>61</v>
      </c>
      <c r="C638" s="19" t="str">
        <f>Source!F514</f>
        <v>1.16-3201-2-2/1</v>
      </c>
      <c r="D638" s="19" t="str">
        <f>Source!G514</f>
        <v>Укрепление расшатавшихся санитарно-технических приборов - унитазы и биде</v>
      </c>
      <c r="E638" s="20" t="str">
        <f>Source!H514</f>
        <v>100 шт.</v>
      </c>
      <c r="F638" s="9">
        <f>Source!I514</f>
        <v>0.1</v>
      </c>
      <c r="G638" s="22"/>
      <c r="H638" s="21"/>
      <c r="I638" s="9"/>
      <c r="J638" s="9"/>
      <c r="K638" s="22"/>
      <c r="L638" s="22"/>
      <c r="Q638">
        <f>ROUND((Source!BZ514/100)*ROUND((Source!AF514*Source!AV514)*Source!I514, 2), 2)</f>
        <v>5390.4</v>
      </c>
      <c r="R638">
        <f>Source!X514</f>
        <v>5390.4</v>
      </c>
      <c r="S638">
        <f>ROUND((Source!CA514/100)*ROUND((Source!AF514*Source!AV514)*Source!I514, 2), 2)</f>
        <v>770.06</v>
      </c>
      <c r="T638">
        <f>Source!Y514</f>
        <v>770.06</v>
      </c>
      <c r="U638">
        <f>ROUND((175/100)*ROUND((Source!AE514*Source!AV514)*Source!I514, 2), 2)</f>
        <v>0.12</v>
      </c>
      <c r="V638">
        <f>ROUND((108/100)*ROUND(Source!CS514*Source!I514, 2), 2)</f>
        <v>0.08</v>
      </c>
    </row>
    <row r="639" spans="1:22" x14ac:dyDescent="0.2">
      <c r="D639" s="23" t="str">
        <f>"Объем: "&amp;Source!I514&amp;"=(10)*"&amp;"1/"&amp;"100"</f>
        <v>Объем: 0,1=(10)*1/100</v>
      </c>
    </row>
    <row r="640" spans="1:22" ht="14.25" x14ac:dyDescent="0.2">
      <c r="A640" s="19"/>
      <c r="B640" s="19"/>
      <c r="C640" s="19"/>
      <c r="D640" s="19" t="s">
        <v>500</v>
      </c>
      <c r="E640" s="20"/>
      <c r="F640" s="9"/>
      <c r="G640" s="22">
        <f>Source!AO514</f>
        <v>77005.72</v>
      </c>
      <c r="H640" s="21" t="str">
        <f>Source!DG514</f>
        <v/>
      </c>
      <c r="I640" s="9">
        <f>Source!AV514</f>
        <v>1</v>
      </c>
      <c r="J640" s="9">
        <f>IF(Source!BA514&lt;&gt; 0, Source!BA514, 1)</f>
        <v>1</v>
      </c>
      <c r="K640" s="22">
        <f>Source!S514</f>
        <v>7700.57</v>
      </c>
      <c r="L640" s="22"/>
    </row>
    <row r="641" spans="1:22" ht="14.25" x14ac:dyDescent="0.2">
      <c r="A641" s="19"/>
      <c r="B641" s="19"/>
      <c r="C641" s="19"/>
      <c r="D641" s="19" t="s">
        <v>506</v>
      </c>
      <c r="E641" s="20"/>
      <c r="F641" s="9"/>
      <c r="G641" s="22">
        <f>Source!AM514</f>
        <v>61.83</v>
      </c>
      <c r="H641" s="21" t="str">
        <f>Source!DE514</f>
        <v/>
      </c>
      <c r="I641" s="9">
        <f>Source!AV514</f>
        <v>1</v>
      </c>
      <c r="J641" s="9">
        <f>IF(Source!BB514&lt;&gt; 0, Source!BB514, 1)</f>
        <v>1</v>
      </c>
      <c r="K641" s="22">
        <f>Source!Q514</f>
        <v>6.18</v>
      </c>
      <c r="L641" s="22"/>
    </row>
    <row r="642" spans="1:22" ht="14.25" x14ac:dyDescent="0.2">
      <c r="A642" s="19"/>
      <c r="B642" s="19"/>
      <c r="C642" s="19"/>
      <c r="D642" s="19" t="s">
        <v>507</v>
      </c>
      <c r="E642" s="20"/>
      <c r="F642" s="9"/>
      <c r="G642" s="22">
        <f>Source!AN514</f>
        <v>0.7</v>
      </c>
      <c r="H642" s="21" t="str">
        <f>Source!DF514</f>
        <v/>
      </c>
      <c r="I642" s="9">
        <f>Source!AV514</f>
        <v>1</v>
      </c>
      <c r="J642" s="9">
        <f>IF(Source!BS514&lt;&gt; 0, Source!BS514, 1)</f>
        <v>1</v>
      </c>
      <c r="K642" s="27">
        <f>Source!R514</f>
        <v>7.0000000000000007E-2</v>
      </c>
      <c r="L642" s="22"/>
    </row>
    <row r="643" spans="1:22" ht="14.25" x14ac:dyDescent="0.2">
      <c r="A643" s="19"/>
      <c r="B643" s="19"/>
      <c r="C643" s="19"/>
      <c r="D643" s="19" t="s">
        <v>508</v>
      </c>
      <c r="E643" s="20"/>
      <c r="F643" s="9"/>
      <c r="G643" s="22">
        <f>Source!AL514</f>
        <v>776.55</v>
      </c>
      <c r="H643" s="21" t="str">
        <f>Source!DD514</f>
        <v/>
      </c>
      <c r="I643" s="9">
        <f>Source!AW514</f>
        <v>1</v>
      </c>
      <c r="J643" s="9">
        <f>IF(Source!BC514&lt;&gt; 0, Source!BC514, 1)</f>
        <v>1</v>
      </c>
      <c r="K643" s="22">
        <f>Source!P514</f>
        <v>77.66</v>
      </c>
      <c r="L643" s="22"/>
    </row>
    <row r="644" spans="1:22" ht="14.25" x14ac:dyDescent="0.2">
      <c r="A644" s="19"/>
      <c r="B644" s="19"/>
      <c r="C644" s="19"/>
      <c r="D644" s="19" t="s">
        <v>501</v>
      </c>
      <c r="E644" s="20" t="s">
        <v>502</v>
      </c>
      <c r="F644" s="9">
        <f>Source!AT514</f>
        <v>70</v>
      </c>
      <c r="G644" s="22"/>
      <c r="H644" s="21"/>
      <c r="I644" s="9"/>
      <c r="J644" s="9"/>
      <c r="K644" s="22">
        <f>SUM(R638:R643)</f>
        <v>5390.4</v>
      </c>
      <c r="L644" s="22"/>
    </row>
    <row r="645" spans="1:22" ht="14.25" x14ac:dyDescent="0.2">
      <c r="A645" s="19"/>
      <c r="B645" s="19"/>
      <c r="C645" s="19"/>
      <c r="D645" s="19" t="s">
        <v>503</v>
      </c>
      <c r="E645" s="20" t="s">
        <v>502</v>
      </c>
      <c r="F645" s="9">
        <f>Source!AU514</f>
        <v>10</v>
      </c>
      <c r="G645" s="22"/>
      <c r="H645" s="21"/>
      <c r="I645" s="9"/>
      <c r="J645" s="9"/>
      <c r="K645" s="22">
        <f>SUM(T638:T644)</f>
        <v>770.06</v>
      </c>
      <c r="L645" s="22"/>
    </row>
    <row r="646" spans="1:22" ht="14.25" x14ac:dyDescent="0.2">
      <c r="A646" s="19"/>
      <c r="B646" s="19"/>
      <c r="C646" s="19"/>
      <c r="D646" s="19" t="s">
        <v>509</v>
      </c>
      <c r="E646" s="20" t="s">
        <v>502</v>
      </c>
      <c r="F646" s="9">
        <f>108</f>
        <v>108</v>
      </c>
      <c r="G646" s="22"/>
      <c r="H646" s="21"/>
      <c r="I646" s="9"/>
      <c r="J646" s="9"/>
      <c r="K646" s="22">
        <f>SUM(V638:V645)</f>
        <v>0.08</v>
      </c>
      <c r="L646" s="22"/>
    </row>
    <row r="647" spans="1:22" ht="14.25" x14ac:dyDescent="0.2">
      <c r="A647" s="19"/>
      <c r="B647" s="19"/>
      <c r="C647" s="19"/>
      <c r="D647" s="19" t="s">
        <v>504</v>
      </c>
      <c r="E647" s="20" t="s">
        <v>505</v>
      </c>
      <c r="F647" s="9">
        <f>Source!AQ514</f>
        <v>151.93</v>
      </c>
      <c r="G647" s="22"/>
      <c r="H647" s="21" t="str">
        <f>Source!DI514</f>
        <v/>
      </c>
      <c r="I647" s="9">
        <f>Source!AV514</f>
        <v>1</v>
      </c>
      <c r="J647" s="9"/>
      <c r="K647" s="22"/>
      <c r="L647" s="22">
        <f>Source!U514</f>
        <v>15.193000000000001</v>
      </c>
    </row>
    <row r="648" spans="1:22" ht="15" x14ac:dyDescent="0.25">
      <c r="A648" s="25"/>
      <c r="B648" s="25"/>
      <c r="C648" s="25"/>
      <c r="D648" s="25"/>
      <c r="E648" s="25"/>
      <c r="F648" s="25"/>
      <c r="G648" s="25"/>
      <c r="H648" s="25"/>
      <c r="I648" s="25"/>
      <c r="J648" s="52">
        <f>K640+K641+K643+K644+K645+K646</f>
        <v>13944.949999999999</v>
      </c>
      <c r="K648" s="52"/>
      <c r="L648" s="26">
        <f>IF(Source!I514&lt;&gt;0, ROUND(J648/Source!I514, 2), 0)</f>
        <v>139449.5</v>
      </c>
      <c r="P648" s="24">
        <f>J648</f>
        <v>13944.949999999999</v>
      </c>
    </row>
    <row r="649" spans="1:22" ht="28.5" x14ac:dyDescent="0.2">
      <c r="A649" s="19">
        <v>62</v>
      </c>
      <c r="B649" s="19">
        <v>62</v>
      </c>
      <c r="C649" s="19" t="str">
        <f>Source!F515</f>
        <v>1.16-3201-1-1/1</v>
      </c>
      <c r="D649" s="19" t="str">
        <f>Source!G515</f>
        <v>Регулировка смывного бачка</v>
      </c>
      <c r="E649" s="20" t="str">
        <f>Source!H515</f>
        <v>100 приборов</v>
      </c>
      <c r="F649" s="9">
        <f>Source!I515</f>
        <v>0.1</v>
      </c>
      <c r="G649" s="22"/>
      <c r="H649" s="21"/>
      <c r="I649" s="9"/>
      <c r="J649" s="9"/>
      <c r="K649" s="22"/>
      <c r="L649" s="22"/>
      <c r="Q649">
        <f>ROUND((Source!BZ515/100)*ROUND((Source!AF515*Source!AV515)*Source!I515, 2), 2)</f>
        <v>1112.73</v>
      </c>
      <c r="R649">
        <f>Source!X515</f>
        <v>1112.73</v>
      </c>
      <c r="S649">
        <f>ROUND((Source!CA515/100)*ROUND((Source!AF515*Source!AV515)*Source!I515, 2), 2)</f>
        <v>158.96</v>
      </c>
      <c r="T649">
        <f>Source!Y515</f>
        <v>158.96</v>
      </c>
      <c r="U649">
        <f>ROUND((175/100)*ROUND((Source!AE515*Source!AV515)*Source!I515, 2), 2)</f>
        <v>0</v>
      </c>
      <c r="V649">
        <f>ROUND((108/100)*ROUND(Source!CS515*Source!I515, 2), 2)</f>
        <v>0</v>
      </c>
    </row>
    <row r="650" spans="1:22" x14ac:dyDescent="0.2">
      <c r="D650" s="23" t="str">
        <f>"Объем: "&amp;Source!I515&amp;"=10*"&amp;"1/"&amp;"100"</f>
        <v>Объем: 0,1=10*1/100</v>
      </c>
    </row>
    <row r="651" spans="1:22" ht="14.25" x14ac:dyDescent="0.2">
      <c r="A651" s="19"/>
      <c r="B651" s="19"/>
      <c r="C651" s="19"/>
      <c r="D651" s="19" t="s">
        <v>500</v>
      </c>
      <c r="E651" s="20"/>
      <c r="F651" s="9"/>
      <c r="G651" s="22">
        <f>Source!AO515</f>
        <v>15896.11</v>
      </c>
      <c r="H651" s="21" t="str">
        <f>Source!DG515</f>
        <v/>
      </c>
      <c r="I651" s="9">
        <f>Source!AV515</f>
        <v>1</v>
      </c>
      <c r="J651" s="9">
        <f>IF(Source!BA515&lt;&gt; 0, Source!BA515, 1)</f>
        <v>1</v>
      </c>
      <c r="K651" s="22">
        <f>Source!S515</f>
        <v>1589.61</v>
      </c>
      <c r="L651" s="22"/>
    </row>
    <row r="652" spans="1:22" ht="14.25" x14ac:dyDescent="0.2">
      <c r="A652" s="19"/>
      <c r="B652" s="19"/>
      <c r="C652" s="19"/>
      <c r="D652" s="19" t="s">
        <v>501</v>
      </c>
      <c r="E652" s="20" t="s">
        <v>502</v>
      </c>
      <c r="F652" s="9">
        <f>Source!AT515</f>
        <v>70</v>
      </c>
      <c r="G652" s="22"/>
      <c r="H652" s="21"/>
      <c r="I652" s="9"/>
      <c r="J652" s="9"/>
      <c r="K652" s="22">
        <f>SUM(R649:R651)</f>
        <v>1112.73</v>
      </c>
      <c r="L652" s="22"/>
    </row>
    <row r="653" spans="1:22" ht="14.25" x14ac:dyDescent="0.2">
      <c r="A653" s="19"/>
      <c r="B653" s="19"/>
      <c r="C653" s="19"/>
      <c r="D653" s="19" t="s">
        <v>503</v>
      </c>
      <c r="E653" s="20" t="s">
        <v>502</v>
      </c>
      <c r="F653" s="9">
        <f>Source!AU515</f>
        <v>10</v>
      </c>
      <c r="G653" s="22"/>
      <c r="H653" s="21"/>
      <c r="I653" s="9"/>
      <c r="J653" s="9"/>
      <c r="K653" s="22">
        <f>SUM(T649:T652)</f>
        <v>158.96</v>
      </c>
      <c r="L653" s="22"/>
    </row>
    <row r="654" spans="1:22" ht="14.25" x14ac:dyDescent="0.2">
      <c r="A654" s="19"/>
      <c r="B654" s="19"/>
      <c r="C654" s="19"/>
      <c r="D654" s="19" t="s">
        <v>504</v>
      </c>
      <c r="E654" s="20" t="s">
        <v>505</v>
      </c>
      <c r="F654" s="9">
        <f>Source!AQ515</f>
        <v>26.7</v>
      </c>
      <c r="G654" s="22"/>
      <c r="H654" s="21" t="str">
        <f>Source!DI515</f>
        <v/>
      </c>
      <c r="I654" s="9">
        <f>Source!AV515</f>
        <v>1</v>
      </c>
      <c r="J654" s="9"/>
      <c r="K654" s="22"/>
      <c r="L654" s="22">
        <f>Source!U515</f>
        <v>2.67</v>
      </c>
    </row>
    <row r="655" spans="1:22" ht="15" x14ac:dyDescent="0.25">
      <c r="A655" s="25"/>
      <c r="B655" s="25"/>
      <c r="C655" s="25"/>
      <c r="D655" s="25"/>
      <c r="E655" s="25"/>
      <c r="F655" s="25"/>
      <c r="G655" s="25"/>
      <c r="H655" s="25"/>
      <c r="I655" s="25"/>
      <c r="J655" s="52">
        <f>K651+K652+K653</f>
        <v>2861.3</v>
      </c>
      <c r="K655" s="52"/>
      <c r="L655" s="26">
        <f>IF(Source!I515&lt;&gt;0, ROUND(J655/Source!I515, 2), 0)</f>
        <v>28613</v>
      </c>
      <c r="P655" s="24">
        <f>J655</f>
        <v>2861.3</v>
      </c>
    </row>
    <row r="656" spans="1:22" ht="42.75" x14ac:dyDescent="0.2">
      <c r="A656" s="19">
        <v>63</v>
      </c>
      <c r="B656" s="19">
        <v>63</v>
      </c>
      <c r="C656" s="19" t="str">
        <f>Source!F517</f>
        <v>1.23-2103-41-1/1</v>
      </c>
      <c r="D656" s="19" t="str">
        <f>Source!G517</f>
        <v>Техническое обслуживание регулирующего клапана / Смеситель для раковины</v>
      </c>
      <c r="E656" s="20" t="str">
        <f>Source!H517</f>
        <v>шт.</v>
      </c>
      <c r="F656" s="9">
        <f>Source!I517</f>
        <v>10</v>
      </c>
      <c r="G656" s="22"/>
      <c r="H656" s="21"/>
      <c r="I656" s="9"/>
      <c r="J656" s="9"/>
      <c r="K656" s="22"/>
      <c r="L656" s="22"/>
      <c r="Q656">
        <f>ROUND((Source!BZ517/100)*ROUND((Source!AF517*Source!AV517)*Source!I517, 2), 2)</f>
        <v>1456</v>
      </c>
      <c r="R656">
        <f>Source!X517</f>
        <v>1456</v>
      </c>
      <c r="S656">
        <f>ROUND((Source!CA517/100)*ROUND((Source!AF517*Source!AV517)*Source!I517, 2), 2)</f>
        <v>208</v>
      </c>
      <c r="T656">
        <f>Source!Y517</f>
        <v>208</v>
      </c>
      <c r="U656">
        <f>ROUND((175/100)*ROUND((Source!AE517*Source!AV517)*Source!I517, 2), 2)</f>
        <v>867.48</v>
      </c>
      <c r="V656">
        <f>ROUND((108/100)*ROUND(Source!CS517*Source!I517, 2), 2)</f>
        <v>535.36</v>
      </c>
    </row>
    <row r="657" spans="1:22" x14ac:dyDescent="0.2">
      <c r="D657" s="23" t="str">
        <f>"Объем: "&amp;Source!I517&amp;"=(10)*"&amp;"1"</f>
        <v>Объем: 10=(10)*1</v>
      </c>
    </row>
    <row r="658" spans="1:22" ht="14.25" x14ac:dyDescent="0.2">
      <c r="A658" s="19"/>
      <c r="B658" s="19"/>
      <c r="C658" s="19"/>
      <c r="D658" s="19" t="s">
        <v>500</v>
      </c>
      <c r="E658" s="20"/>
      <c r="F658" s="9"/>
      <c r="G658" s="22">
        <f>Source!AO517</f>
        <v>208</v>
      </c>
      <c r="H658" s="21" t="str">
        <f>Source!DG517</f>
        <v/>
      </c>
      <c r="I658" s="9">
        <f>Source!AV517</f>
        <v>1</v>
      </c>
      <c r="J658" s="9">
        <f>IF(Source!BA517&lt;&gt; 0, Source!BA517, 1)</f>
        <v>1</v>
      </c>
      <c r="K658" s="22">
        <f>Source!S517</f>
        <v>2080</v>
      </c>
      <c r="L658" s="22"/>
    </row>
    <row r="659" spans="1:22" ht="14.25" x14ac:dyDescent="0.2">
      <c r="A659" s="19"/>
      <c r="B659" s="19"/>
      <c r="C659" s="19"/>
      <c r="D659" s="19" t="s">
        <v>506</v>
      </c>
      <c r="E659" s="20"/>
      <c r="F659" s="9"/>
      <c r="G659" s="22">
        <f>Source!AM517</f>
        <v>78.180000000000007</v>
      </c>
      <c r="H659" s="21" t="str">
        <f>Source!DE517</f>
        <v/>
      </c>
      <c r="I659" s="9">
        <f>Source!AV517</f>
        <v>1</v>
      </c>
      <c r="J659" s="9">
        <f>IF(Source!BB517&lt;&gt; 0, Source!BB517, 1)</f>
        <v>1</v>
      </c>
      <c r="K659" s="22">
        <f>Source!Q517</f>
        <v>781.8</v>
      </c>
      <c r="L659" s="22"/>
    </row>
    <row r="660" spans="1:22" ht="14.25" x14ac:dyDescent="0.2">
      <c r="A660" s="19"/>
      <c r="B660" s="19"/>
      <c r="C660" s="19"/>
      <c r="D660" s="19" t="s">
        <v>507</v>
      </c>
      <c r="E660" s="20"/>
      <c r="F660" s="9"/>
      <c r="G660" s="22">
        <f>Source!AN517</f>
        <v>49.57</v>
      </c>
      <c r="H660" s="21" t="str">
        <f>Source!DF517</f>
        <v/>
      </c>
      <c r="I660" s="9">
        <f>Source!AV517</f>
        <v>1</v>
      </c>
      <c r="J660" s="9">
        <f>IF(Source!BS517&lt;&gt; 0, Source!BS517, 1)</f>
        <v>1</v>
      </c>
      <c r="K660" s="27">
        <f>Source!R517</f>
        <v>495.7</v>
      </c>
      <c r="L660" s="22"/>
    </row>
    <row r="661" spans="1:22" ht="14.25" x14ac:dyDescent="0.2">
      <c r="A661" s="19"/>
      <c r="B661" s="19"/>
      <c r="C661" s="19"/>
      <c r="D661" s="19" t="s">
        <v>501</v>
      </c>
      <c r="E661" s="20" t="s">
        <v>502</v>
      </c>
      <c r="F661" s="9">
        <f>Source!AT517</f>
        <v>70</v>
      </c>
      <c r="G661" s="22"/>
      <c r="H661" s="21"/>
      <c r="I661" s="9"/>
      <c r="J661" s="9"/>
      <c r="K661" s="22">
        <f>SUM(R656:R660)</f>
        <v>1456</v>
      </c>
      <c r="L661" s="22"/>
    </row>
    <row r="662" spans="1:22" ht="14.25" x14ac:dyDescent="0.2">
      <c r="A662" s="19"/>
      <c r="B662" s="19"/>
      <c r="C662" s="19"/>
      <c r="D662" s="19" t="s">
        <v>503</v>
      </c>
      <c r="E662" s="20" t="s">
        <v>502</v>
      </c>
      <c r="F662" s="9">
        <f>Source!AU517</f>
        <v>10</v>
      </c>
      <c r="G662" s="22"/>
      <c r="H662" s="21"/>
      <c r="I662" s="9"/>
      <c r="J662" s="9"/>
      <c r="K662" s="22">
        <f>SUM(T656:T661)</f>
        <v>208</v>
      </c>
      <c r="L662" s="22"/>
    </row>
    <row r="663" spans="1:22" ht="14.25" x14ac:dyDescent="0.2">
      <c r="A663" s="19"/>
      <c r="B663" s="19"/>
      <c r="C663" s="19"/>
      <c r="D663" s="19" t="s">
        <v>509</v>
      </c>
      <c r="E663" s="20" t="s">
        <v>502</v>
      </c>
      <c r="F663" s="9">
        <f>108</f>
        <v>108</v>
      </c>
      <c r="G663" s="22"/>
      <c r="H663" s="21"/>
      <c r="I663" s="9"/>
      <c r="J663" s="9"/>
      <c r="K663" s="22">
        <f>SUM(V656:V662)</f>
        <v>535.36</v>
      </c>
      <c r="L663" s="22"/>
    </row>
    <row r="664" spans="1:22" ht="14.25" x14ac:dyDescent="0.2">
      <c r="A664" s="19"/>
      <c r="B664" s="19"/>
      <c r="C664" s="19"/>
      <c r="D664" s="19" t="s">
        <v>504</v>
      </c>
      <c r="E664" s="20" t="s">
        <v>505</v>
      </c>
      <c r="F664" s="9">
        <f>Source!AQ517</f>
        <v>0.37</v>
      </c>
      <c r="G664" s="22"/>
      <c r="H664" s="21" t="str">
        <f>Source!DI517</f>
        <v/>
      </c>
      <c r="I664" s="9">
        <f>Source!AV517</f>
        <v>1</v>
      </c>
      <c r="J664" s="9"/>
      <c r="K664" s="22"/>
      <c r="L664" s="22">
        <f>Source!U517</f>
        <v>3.7</v>
      </c>
    </row>
    <row r="665" spans="1:22" ht="15" x14ac:dyDescent="0.25">
      <c r="A665" s="25"/>
      <c r="B665" s="25"/>
      <c r="C665" s="25"/>
      <c r="D665" s="25"/>
      <c r="E665" s="25"/>
      <c r="F665" s="25"/>
      <c r="G665" s="25"/>
      <c r="H665" s="25"/>
      <c r="I665" s="25"/>
      <c r="J665" s="52">
        <f>K658+K659+K661+K662+K663</f>
        <v>5061.16</v>
      </c>
      <c r="K665" s="52"/>
      <c r="L665" s="26">
        <f>IF(Source!I517&lt;&gt;0, ROUND(J665/Source!I517, 2), 0)</f>
        <v>506.12</v>
      </c>
      <c r="P665" s="24">
        <f>J665</f>
        <v>5061.16</v>
      </c>
    </row>
    <row r="666" spans="1:22" ht="28.5" x14ac:dyDescent="0.2">
      <c r="A666" s="19">
        <v>64</v>
      </c>
      <c r="B666" s="19">
        <v>64</v>
      </c>
      <c r="C666" s="19" t="str">
        <f>Source!F518</f>
        <v>1.16-2203-1-1/1</v>
      </c>
      <c r="D666" s="19" t="str">
        <f>Source!G518</f>
        <v>Прочистка сифонов</v>
      </c>
      <c r="E666" s="20" t="str">
        <f>Source!H518</f>
        <v>100 шт.</v>
      </c>
      <c r="F666" s="9">
        <f>Source!I518</f>
        <v>0.1</v>
      </c>
      <c r="G666" s="22"/>
      <c r="H666" s="21"/>
      <c r="I666" s="9"/>
      <c r="J666" s="9"/>
      <c r="K666" s="22"/>
      <c r="L666" s="22"/>
      <c r="Q666">
        <f>ROUND((Source!BZ518/100)*ROUND((Source!AF518*Source!AV518)*Source!I518, 2), 2)</f>
        <v>3976.55</v>
      </c>
      <c r="R666">
        <f>Source!X518</f>
        <v>3976.55</v>
      </c>
      <c r="S666">
        <f>ROUND((Source!CA518/100)*ROUND((Source!AF518*Source!AV518)*Source!I518, 2), 2)</f>
        <v>568.08000000000004</v>
      </c>
      <c r="T666">
        <f>Source!Y518</f>
        <v>568.08000000000004</v>
      </c>
      <c r="U666">
        <f>ROUND((175/100)*ROUND((Source!AE518*Source!AV518)*Source!I518, 2), 2)</f>
        <v>0</v>
      </c>
      <c r="V666">
        <f>ROUND((108/100)*ROUND(Source!CS518*Source!I518, 2), 2)</f>
        <v>0</v>
      </c>
    </row>
    <row r="667" spans="1:22" x14ac:dyDescent="0.2">
      <c r="D667" s="23" t="str">
        <f>"Объем: "&amp;Source!I518&amp;"=(10)*"&amp;"1/"&amp;"100"</f>
        <v>Объем: 0,1=(10)*1/100</v>
      </c>
    </row>
    <row r="668" spans="1:22" ht="14.25" x14ac:dyDescent="0.2">
      <c r="A668" s="19"/>
      <c r="B668" s="19"/>
      <c r="C668" s="19"/>
      <c r="D668" s="19" t="s">
        <v>500</v>
      </c>
      <c r="E668" s="20"/>
      <c r="F668" s="9"/>
      <c r="G668" s="22">
        <f>Source!AO518</f>
        <v>14201.94</v>
      </c>
      <c r="H668" s="21" t="str">
        <f>Source!DG518</f>
        <v>)*4</v>
      </c>
      <c r="I668" s="9">
        <f>Source!AV518</f>
        <v>1</v>
      </c>
      <c r="J668" s="9">
        <f>IF(Source!BA518&lt;&gt; 0, Source!BA518, 1)</f>
        <v>1</v>
      </c>
      <c r="K668" s="22">
        <f>Source!S518</f>
        <v>5680.78</v>
      </c>
      <c r="L668" s="22"/>
    </row>
    <row r="669" spans="1:22" ht="14.25" x14ac:dyDescent="0.2">
      <c r="A669" s="19"/>
      <c r="B669" s="19"/>
      <c r="C669" s="19"/>
      <c r="D669" s="19" t="s">
        <v>508</v>
      </c>
      <c r="E669" s="20"/>
      <c r="F669" s="9"/>
      <c r="G669" s="22">
        <f>Source!AL518</f>
        <v>243.57</v>
      </c>
      <c r="H669" s="21" t="str">
        <f>Source!DD518</f>
        <v>)*4</v>
      </c>
      <c r="I669" s="9">
        <f>Source!AW518</f>
        <v>1</v>
      </c>
      <c r="J669" s="9">
        <f>IF(Source!BC518&lt;&gt; 0, Source!BC518, 1)</f>
        <v>1</v>
      </c>
      <c r="K669" s="22">
        <f>Source!P518</f>
        <v>97.43</v>
      </c>
      <c r="L669" s="22"/>
    </row>
    <row r="670" spans="1:22" ht="14.25" x14ac:dyDescent="0.2">
      <c r="A670" s="19"/>
      <c r="B670" s="19"/>
      <c r="C670" s="19"/>
      <c r="D670" s="19" t="s">
        <v>501</v>
      </c>
      <c r="E670" s="20" t="s">
        <v>502</v>
      </c>
      <c r="F670" s="9">
        <f>Source!AT518</f>
        <v>70</v>
      </c>
      <c r="G670" s="22"/>
      <c r="H670" s="21"/>
      <c r="I670" s="9"/>
      <c r="J670" s="9"/>
      <c r="K670" s="22">
        <f>SUM(R666:R669)</f>
        <v>3976.55</v>
      </c>
      <c r="L670" s="22"/>
    </row>
    <row r="671" spans="1:22" ht="14.25" x14ac:dyDescent="0.2">
      <c r="A671" s="19"/>
      <c r="B671" s="19"/>
      <c r="C671" s="19"/>
      <c r="D671" s="19" t="s">
        <v>503</v>
      </c>
      <c r="E671" s="20" t="s">
        <v>502</v>
      </c>
      <c r="F671" s="9">
        <f>Source!AU518</f>
        <v>10</v>
      </c>
      <c r="G671" s="22"/>
      <c r="H671" s="21"/>
      <c r="I671" s="9"/>
      <c r="J671" s="9"/>
      <c r="K671" s="22">
        <f>SUM(T666:T670)</f>
        <v>568.08000000000004</v>
      </c>
      <c r="L671" s="22"/>
    </row>
    <row r="672" spans="1:22" ht="14.25" x14ac:dyDescent="0.2">
      <c r="A672" s="19"/>
      <c r="B672" s="19"/>
      <c r="C672" s="19"/>
      <c r="D672" s="19" t="s">
        <v>504</v>
      </c>
      <c r="E672" s="20" t="s">
        <v>505</v>
      </c>
      <c r="F672" s="9">
        <f>Source!AQ518</f>
        <v>28.02</v>
      </c>
      <c r="G672" s="22"/>
      <c r="H672" s="21" t="str">
        <f>Source!DI518</f>
        <v>)*4</v>
      </c>
      <c r="I672" s="9">
        <f>Source!AV518</f>
        <v>1</v>
      </c>
      <c r="J672" s="9"/>
      <c r="K672" s="22"/>
      <c r="L672" s="22">
        <f>Source!U518</f>
        <v>11.208</v>
      </c>
    </row>
    <row r="673" spans="1:22" ht="15" x14ac:dyDescent="0.25">
      <c r="A673" s="25"/>
      <c r="B673" s="25"/>
      <c r="C673" s="25"/>
      <c r="D673" s="25"/>
      <c r="E673" s="25"/>
      <c r="F673" s="25"/>
      <c r="G673" s="25"/>
      <c r="H673" s="25"/>
      <c r="I673" s="25"/>
      <c r="J673" s="52">
        <f>K668+K669+K670+K671</f>
        <v>10322.84</v>
      </c>
      <c r="K673" s="52"/>
      <c r="L673" s="26">
        <f>IF(Source!I518&lt;&gt;0, ROUND(J673/Source!I518, 2), 0)</f>
        <v>103228.4</v>
      </c>
      <c r="P673" s="24">
        <f>J673</f>
        <v>10322.84</v>
      </c>
    </row>
    <row r="674" spans="1:22" ht="42.75" x14ac:dyDescent="0.2">
      <c r="A674" s="19">
        <v>65</v>
      </c>
      <c r="B674" s="19">
        <v>65</v>
      </c>
      <c r="C674" s="19" t="str">
        <f>Source!F519</f>
        <v>1.23-2103-41-1/1</v>
      </c>
      <c r="D674" s="19" t="str">
        <f>Source!G519</f>
        <v>Техническое обслуживание регулирующего клапана / Смеситель для раковины / для зоны кухни</v>
      </c>
      <c r="E674" s="20" t="str">
        <f>Source!H519</f>
        <v>шт.</v>
      </c>
      <c r="F674" s="9">
        <f>Source!I519</f>
        <v>10</v>
      </c>
      <c r="G674" s="22"/>
      <c r="H674" s="21"/>
      <c r="I674" s="9"/>
      <c r="J674" s="9"/>
      <c r="K674" s="22"/>
      <c r="L674" s="22"/>
      <c r="Q674">
        <f>ROUND((Source!BZ519/100)*ROUND((Source!AF519*Source!AV519)*Source!I519, 2), 2)</f>
        <v>1456</v>
      </c>
      <c r="R674">
        <f>Source!X519</f>
        <v>1456</v>
      </c>
      <c r="S674">
        <f>ROUND((Source!CA519/100)*ROUND((Source!AF519*Source!AV519)*Source!I519, 2), 2)</f>
        <v>208</v>
      </c>
      <c r="T674">
        <f>Source!Y519</f>
        <v>208</v>
      </c>
      <c r="U674">
        <f>ROUND((175/100)*ROUND((Source!AE519*Source!AV519)*Source!I519, 2), 2)</f>
        <v>867.48</v>
      </c>
      <c r="V674">
        <f>ROUND((108/100)*ROUND(Source!CS519*Source!I519, 2), 2)</f>
        <v>535.36</v>
      </c>
    </row>
    <row r="675" spans="1:22" x14ac:dyDescent="0.2">
      <c r="D675" s="23" t="str">
        <f>"Объем: "&amp;Source!I519&amp;"=(10)*"&amp;"1"</f>
        <v>Объем: 10=(10)*1</v>
      </c>
    </row>
    <row r="676" spans="1:22" ht="14.25" x14ac:dyDescent="0.2">
      <c r="A676" s="19"/>
      <c r="B676" s="19"/>
      <c r="C676" s="19"/>
      <c r="D676" s="19" t="s">
        <v>500</v>
      </c>
      <c r="E676" s="20"/>
      <c r="F676" s="9"/>
      <c r="G676" s="22">
        <f>Source!AO519</f>
        <v>208</v>
      </c>
      <c r="H676" s="21" t="str">
        <f>Source!DG519</f>
        <v/>
      </c>
      <c r="I676" s="9">
        <f>Source!AV519</f>
        <v>1</v>
      </c>
      <c r="J676" s="9">
        <f>IF(Source!BA519&lt;&gt; 0, Source!BA519, 1)</f>
        <v>1</v>
      </c>
      <c r="K676" s="22">
        <f>Source!S519</f>
        <v>2080</v>
      </c>
      <c r="L676" s="22"/>
    </row>
    <row r="677" spans="1:22" ht="14.25" x14ac:dyDescent="0.2">
      <c r="A677" s="19"/>
      <c r="B677" s="19"/>
      <c r="C677" s="19"/>
      <c r="D677" s="19" t="s">
        <v>506</v>
      </c>
      <c r="E677" s="20"/>
      <c r="F677" s="9"/>
      <c r="G677" s="22">
        <f>Source!AM519</f>
        <v>78.180000000000007</v>
      </c>
      <c r="H677" s="21" t="str">
        <f>Source!DE519</f>
        <v/>
      </c>
      <c r="I677" s="9">
        <f>Source!AV519</f>
        <v>1</v>
      </c>
      <c r="J677" s="9">
        <f>IF(Source!BB519&lt;&gt; 0, Source!BB519, 1)</f>
        <v>1</v>
      </c>
      <c r="K677" s="22">
        <f>Source!Q519</f>
        <v>781.8</v>
      </c>
      <c r="L677" s="22"/>
    </row>
    <row r="678" spans="1:22" ht="14.25" x14ac:dyDescent="0.2">
      <c r="A678" s="19"/>
      <c r="B678" s="19"/>
      <c r="C678" s="19"/>
      <c r="D678" s="19" t="s">
        <v>507</v>
      </c>
      <c r="E678" s="20"/>
      <c r="F678" s="9"/>
      <c r="G678" s="22">
        <f>Source!AN519</f>
        <v>49.57</v>
      </c>
      <c r="H678" s="21" t="str">
        <f>Source!DF519</f>
        <v/>
      </c>
      <c r="I678" s="9">
        <f>Source!AV519</f>
        <v>1</v>
      </c>
      <c r="J678" s="9">
        <f>IF(Source!BS519&lt;&gt; 0, Source!BS519, 1)</f>
        <v>1</v>
      </c>
      <c r="K678" s="27">
        <f>Source!R519</f>
        <v>495.7</v>
      </c>
      <c r="L678" s="22"/>
    </row>
    <row r="679" spans="1:22" ht="14.25" x14ac:dyDescent="0.2">
      <c r="A679" s="19"/>
      <c r="B679" s="19"/>
      <c r="C679" s="19"/>
      <c r="D679" s="19" t="s">
        <v>501</v>
      </c>
      <c r="E679" s="20" t="s">
        <v>502</v>
      </c>
      <c r="F679" s="9">
        <f>Source!AT519</f>
        <v>70</v>
      </c>
      <c r="G679" s="22"/>
      <c r="H679" s="21"/>
      <c r="I679" s="9"/>
      <c r="J679" s="9"/>
      <c r="K679" s="22">
        <f>SUM(R674:R678)</f>
        <v>1456</v>
      </c>
      <c r="L679" s="22"/>
    </row>
    <row r="680" spans="1:22" ht="14.25" x14ac:dyDescent="0.2">
      <c r="A680" s="19"/>
      <c r="B680" s="19"/>
      <c r="C680" s="19"/>
      <c r="D680" s="19" t="s">
        <v>503</v>
      </c>
      <c r="E680" s="20" t="s">
        <v>502</v>
      </c>
      <c r="F680" s="9">
        <f>Source!AU519</f>
        <v>10</v>
      </c>
      <c r="G680" s="22"/>
      <c r="H680" s="21"/>
      <c r="I680" s="9"/>
      <c r="J680" s="9"/>
      <c r="K680" s="22">
        <f>SUM(T674:T679)</f>
        <v>208</v>
      </c>
      <c r="L680" s="22"/>
    </row>
    <row r="681" spans="1:22" ht="14.25" x14ac:dyDescent="0.2">
      <c r="A681" s="19"/>
      <c r="B681" s="19"/>
      <c r="C681" s="19"/>
      <c r="D681" s="19" t="s">
        <v>509</v>
      </c>
      <c r="E681" s="20" t="s">
        <v>502</v>
      </c>
      <c r="F681" s="9">
        <f>108</f>
        <v>108</v>
      </c>
      <c r="G681" s="22"/>
      <c r="H681" s="21"/>
      <c r="I681" s="9"/>
      <c r="J681" s="9"/>
      <c r="K681" s="22">
        <f>SUM(V674:V680)</f>
        <v>535.36</v>
      </c>
      <c r="L681" s="22"/>
    </row>
    <row r="682" spans="1:22" ht="14.25" x14ac:dyDescent="0.2">
      <c r="A682" s="19"/>
      <c r="B682" s="19"/>
      <c r="C682" s="19"/>
      <c r="D682" s="19" t="s">
        <v>504</v>
      </c>
      <c r="E682" s="20" t="s">
        <v>505</v>
      </c>
      <c r="F682" s="9">
        <f>Source!AQ519</f>
        <v>0.37</v>
      </c>
      <c r="G682" s="22"/>
      <c r="H682" s="21" t="str">
        <f>Source!DI519</f>
        <v/>
      </c>
      <c r="I682" s="9">
        <f>Source!AV519</f>
        <v>1</v>
      </c>
      <c r="J682" s="9"/>
      <c r="K682" s="22"/>
      <c r="L682" s="22">
        <f>Source!U519</f>
        <v>3.7</v>
      </c>
    </row>
    <row r="683" spans="1:22" ht="15" x14ac:dyDescent="0.25">
      <c r="A683" s="25"/>
      <c r="B683" s="25"/>
      <c r="C683" s="25"/>
      <c r="D683" s="25"/>
      <c r="E683" s="25"/>
      <c r="F683" s="25"/>
      <c r="G683" s="25"/>
      <c r="H683" s="25"/>
      <c r="I683" s="25"/>
      <c r="J683" s="52">
        <f>K676+K677+K679+K680+K681</f>
        <v>5061.16</v>
      </c>
      <c r="K683" s="52"/>
      <c r="L683" s="26">
        <f>IF(Source!I519&lt;&gt;0, ROUND(J683/Source!I519, 2), 0)</f>
        <v>506.12</v>
      </c>
      <c r="P683" s="24">
        <f>J683</f>
        <v>5061.16</v>
      </c>
    </row>
    <row r="684" spans="1:22" ht="28.5" x14ac:dyDescent="0.2">
      <c r="A684" s="19">
        <v>66</v>
      </c>
      <c r="B684" s="19">
        <v>66</v>
      </c>
      <c r="C684" s="19" t="str">
        <f>Source!F520</f>
        <v>1.16-2203-1-1/1</v>
      </c>
      <c r="D684" s="19" t="str">
        <f>Source!G520</f>
        <v>Прочистка сифонов / для зоны кухни</v>
      </c>
      <c r="E684" s="20" t="str">
        <f>Source!H520</f>
        <v>100 шт.</v>
      </c>
      <c r="F684" s="9">
        <f>Source!I520</f>
        <v>0.1</v>
      </c>
      <c r="G684" s="22"/>
      <c r="H684" s="21"/>
      <c r="I684" s="9"/>
      <c r="J684" s="9"/>
      <c r="K684" s="22"/>
      <c r="L684" s="22"/>
      <c r="Q684">
        <f>ROUND((Source!BZ520/100)*ROUND((Source!AF520*Source!AV520)*Source!I520, 2), 2)</f>
        <v>3976.55</v>
      </c>
      <c r="R684">
        <f>Source!X520</f>
        <v>3976.55</v>
      </c>
      <c r="S684">
        <f>ROUND((Source!CA520/100)*ROUND((Source!AF520*Source!AV520)*Source!I520, 2), 2)</f>
        <v>568.08000000000004</v>
      </c>
      <c r="T684">
        <f>Source!Y520</f>
        <v>568.08000000000004</v>
      </c>
      <c r="U684">
        <f>ROUND((175/100)*ROUND((Source!AE520*Source!AV520)*Source!I520, 2), 2)</f>
        <v>0</v>
      </c>
      <c r="V684">
        <f>ROUND((108/100)*ROUND(Source!CS520*Source!I520, 2), 2)</f>
        <v>0</v>
      </c>
    </row>
    <row r="685" spans="1:22" x14ac:dyDescent="0.2">
      <c r="D685" s="23" t="str">
        <f>"Объем: "&amp;Source!I520&amp;"=(10)*"&amp;"1/"&amp;"100"</f>
        <v>Объем: 0,1=(10)*1/100</v>
      </c>
    </row>
    <row r="686" spans="1:22" ht="14.25" x14ac:dyDescent="0.2">
      <c r="A686" s="19"/>
      <c r="B686" s="19"/>
      <c r="C686" s="19"/>
      <c r="D686" s="19" t="s">
        <v>500</v>
      </c>
      <c r="E686" s="20"/>
      <c r="F686" s="9"/>
      <c r="G686" s="22">
        <f>Source!AO520</f>
        <v>14201.94</v>
      </c>
      <c r="H686" s="21" t="str">
        <f>Source!DG520</f>
        <v>)*4</v>
      </c>
      <c r="I686" s="9">
        <f>Source!AV520</f>
        <v>1</v>
      </c>
      <c r="J686" s="9">
        <f>IF(Source!BA520&lt;&gt; 0, Source!BA520, 1)</f>
        <v>1</v>
      </c>
      <c r="K686" s="22">
        <f>Source!S520</f>
        <v>5680.78</v>
      </c>
      <c r="L686" s="22"/>
    </row>
    <row r="687" spans="1:22" ht="14.25" x14ac:dyDescent="0.2">
      <c r="A687" s="19"/>
      <c r="B687" s="19"/>
      <c r="C687" s="19"/>
      <c r="D687" s="19" t="s">
        <v>508</v>
      </c>
      <c r="E687" s="20"/>
      <c r="F687" s="9"/>
      <c r="G687" s="22">
        <f>Source!AL520</f>
        <v>243.57</v>
      </c>
      <c r="H687" s="21" t="str">
        <f>Source!DD520</f>
        <v>)*4</v>
      </c>
      <c r="I687" s="9">
        <f>Source!AW520</f>
        <v>1</v>
      </c>
      <c r="J687" s="9">
        <f>IF(Source!BC520&lt;&gt; 0, Source!BC520, 1)</f>
        <v>1</v>
      </c>
      <c r="K687" s="22">
        <f>Source!P520</f>
        <v>97.43</v>
      </c>
      <c r="L687" s="22"/>
    </row>
    <row r="688" spans="1:22" ht="14.25" x14ac:dyDescent="0.2">
      <c r="A688" s="19"/>
      <c r="B688" s="19"/>
      <c r="C688" s="19"/>
      <c r="D688" s="19" t="s">
        <v>501</v>
      </c>
      <c r="E688" s="20" t="s">
        <v>502</v>
      </c>
      <c r="F688" s="9">
        <f>Source!AT520</f>
        <v>70</v>
      </c>
      <c r="G688" s="22"/>
      <c r="H688" s="21"/>
      <c r="I688" s="9"/>
      <c r="J688" s="9"/>
      <c r="K688" s="22">
        <f>SUM(R684:R687)</f>
        <v>3976.55</v>
      </c>
      <c r="L688" s="22"/>
    </row>
    <row r="689" spans="1:22" ht="14.25" x14ac:dyDescent="0.2">
      <c r="A689" s="19"/>
      <c r="B689" s="19"/>
      <c r="C689" s="19"/>
      <c r="D689" s="19" t="s">
        <v>503</v>
      </c>
      <c r="E689" s="20" t="s">
        <v>502</v>
      </c>
      <c r="F689" s="9">
        <f>Source!AU520</f>
        <v>10</v>
      </c>
      <c r="G689" s="22"/>
      <c r="H689" s="21"/>
      <c r="I689" s="9"/>
      <c r="J689" s="9"/>
      <c r="K689" s="22">
        <f>SUM(T684:T688)</f>
        <v>568.08000000000004</v>
      </c>
      <c r="L689" s="22"/>
    </row>
    <row r="690" spans="1:22" ht="14.25" x14ac:dyDescent="0.2">
      <c r="A690" s="19"/>
      <c r="B690" s="19"/>
      <c r="C690" s="19"/>
      <c r="D690" s="19" t="s">
        <v>504</v>
      </c>
      <c r="E690" s="20" t="s">
        <v>505</v>
      </c>
      <c r="F690" s="9">
        <f>Source!AQ520</f>
        <v>28.02</v>
      </c>
      <c r="G690" s="22"/>
      <c r="H690" s="21" t="str">
        <f>Source!DI520</f>
        <v>)*4</v>
      </c>
      <c r="I690" s="9">
        <f>Source!AV520</f>
        <v>1</v>
      </c>
      <c r="J690" s="9"/>
      <c r="K690" s="22"/>
      <c r="L690" s="22">
        <f>Source!U520</f>
        <v>11.208</v>
      </c>
    </row>
    <row r="691" spans="1:22" ht="15" x14ac:dyDescent="0.25">
      <c r="A691" s="25"/>
      <c r="B691" s="25"/>
      <c r="C691" s="25"/>
      <c r="D691" s="25"/>
      <c r="E691" s="25"/>
      <c r="F691" s="25"/>
      <c r="G691" s="25"/>
      <c r="H691" s="25"/>
      <c r="I691" s="25"/>
      <c r="J691" s="52">
        <f>K686+K687+K688+K689</f>
        <v>10322.84</v>
      </c>
      <c r="K691" s="52"/>
      <c r="L691" s="26">
        <f>IF(Source!I520&lt;&gt;0, ROUND(J691/Source!I520, 2), 0)</f>
        <v>103228.4</v>
      </c>
      <c r="P691" s="24">
        <f>J691</f>
        <v>10322.84</v>
      </c>
    </row>
    <row r="692" spans="1:22" ht="57" x14ac:dyDescent="0.2">
      <c r="A692" s="19">
        <v>67</v>
      </c>
      <c r="B692" s="19">
        <v>67</v>
      </c>
      <c r="C692" s="19" t="str">
        <f>Source!F522</f>
        <v>1.23-2103-41-1/1</v>
      </c>
      <c r="D692" s="19" t="str">
        <f>Source!G522</f>
        <v>Техническое обслуживание регулирующего клапана / Смеситель душевой с лейкой с тропическим душем</v>
      </c>
      <c r="E692" s="20" t="str">
        <f>Source!H522</f>
        <v>шт.</v>
      </c>
      <c r="F692" s="9">
        <f>Source!I522</f>
        <v>10</v>
      </c>
      <c r="G692" s="22"/>
      <c r="H692" s="21"/>
      <c r="I692" s="9"/>
      <c r="J692" s="9"/>
      <c r="K692" s="22"/>
      <c r="L692" s="22"/>
      <c r="Q692">
        <f>ROUND((Source!BZ522/100)*ROUND((Source!AF522*Source!AV522)*Source!I522, 2), 2)</f>
        <v>1456</v>
      </c>
      <c r="R692">
        <f>Source!X522</f>
        <v>1456</v>
      </c>
      <c r="S692">
        <f>ROUND((Source!CA522/100)*ROUND((Source!AF522*Source!AV522)*Source!I522, 2), 2)</f>
        <v>208</v>
      </c>
      <c r="T692">
        <f>Source!Y522</f>
        <v>208</v>
      </c>
      <c r="U692">
        <f>ROUND((175/100)*ROUND((Source!AE522*Source!AV522)*Source!I522, 2), 2)</f>
        <v>867.48</v>
      </c>
      <c r="V692">
        <f>ROUND((108/100)*ROUND(Source!CS522*Source!I522, 2), 2)</f>
        <v>535.36</v>
      </c>
    </row>
    <row r="693" spans="1:22" x14ac:dyDescent="0.2">
      <c r="D693" s="23" t="str">
        <f>"Объем: "&amp;Source!I522&amp;"=(1)*"&amp;"10"</f>
        <v>Объем: 10=(1)*10</v>
      </c>
    </row>
    <row r="694" spans="1:22" ht="14.25" x14ac:dyDescent="0.2">
      <c r="A694" s="19"/>
      <c r="B694" s="19"/>
      <c r="C694" s="19"/>
      <c r="D694" s="19" t="s">
        <v>500</v>
      </c>
      <c r="E694" s="20"/>
      <c r="F694" s="9"/>
      <c r="G694" s="22">
        <f>Source!AO522</f>
        <v>208</v>
      </c>
      <c r="H694" s="21" t="str">
        <f>Source!DG522</f>
        <v/>
      </c>
      <c r="I694" s="9">
        <f>Source!AV522</f>
        <v>1</v>
      </c>
      <c r="J694" s="9">
        <f>IF(Source!BA522&lt;&gt; 0, Source!BA522, 1)</f>
        <v>1</v>
      </c>
      <c r="K694" s="22">
        <f>Source!S522</f>
        <v>2080</v>
      </c>
      <c r="L694" s="22"/>
    </row>
    <row r="695" spans="1:22" ht="14.25" x14ac:dyDescent="0.2">
      <c r="A695" s="19"/>
      <c r="B695" s="19"/>
      <c r="C695" s="19"/>
      <c r="D695" s="19" t="s">
        <v>506</v>
      </c>
      <c r="E695" s="20"/>
      <c r="F695" s="9"/>
      <c r="G695" s="22">
        <f>Source!AM522</f>
        <v>78.180000000000007</v>
      </c>
      <c r="H695" s="21" t="str">
        <f>Source!DE522</f>
        <v/>
      </c>
      <c r="I695" s="9">
        <f>Source!AV522</f>
        <v>1</v>
      </c>
      <c r="J695" s="9">
        <f>IF(Source!BB522&lt;&gt; 0, Source!BB522, 1)</f>
        <v>1</v>
      </c>
      <c r="K695" s="22">
        <f>Source!Q522</f>
        <v>781.8</v>
      </c>
      <c r="L695" s="22"/>
    </row>
    <row r="696" spans="1:22" ht="14.25" x14ac:dyDescent="0.2">
      <c r="A696" s="19"/>
      <c r="B696" s="19"/>
      <c r="C696" s="19"/>
      <c r="D696" s="19" t="s">
        <v>507</v>
      </c>
      <c r="E696" s="20"/>
      <c r="F696" s="9"/>
      <c r="G696" s="22">
        <f>Source!AN522</f>
        <v>49.57</v>
      </c>
      <c r="H696" s="21" t="str">
        <f>Source!DF522</f>
        <v/>
      </c>
      <c r="I696" s="9">
        <f>Source!AV522</f>
        <v>1</v>
      </c>
      <c r="J696" s="9">
        <f>IF(Source!BS522&lt;&gt; 0, Source!BS522, 1)</f>
        <v>1</v>
      </c>
      <c r="K696" s="27">
        <f>Source!R522</f>
        <v>495.7</v>
      </c>
      <c r="L696" s="22"/>
    </row>
    <row r="697" spans="1:22" ht="14.25" x14ac:dyDescent="0.2">
      <c r="A697" s="19"/>
      <c r="B697" s="19"/>
      <c r="C697" s="19"/>
      <c r="D697" s="19" t="s">
        <v>501</v>
      </c>
      <c r="E697" s="20" t="s">
        <v>502</v>
      </c>
      <c r="F697" s="9">
        <f>Source!AT522</f>
        <v>70</v>
      </c>
      <c r="G697" s="22"/>
      <c r="H697" s="21"/>
      <c r="I697" s="9"/>
      <c r="J697" s="9"/>
      <c r="K697" s="22">
        <f>SUM(R692:R696)</f>
        <v>1456</v>
      </c>
      <c r="L697" s="22"/>
    </row>
    <row r="698" spans="1:22" ht="14.25" x14ac:dyDescent="0.2">
      <c r="A698" s="19"/>
      <c r="B698" s="19"/>
      <c r="C698" s="19"/>
      <c r="D698" s="19" t="s">
        <v>503</v>
      </c>
      <c r="E698" s="20" t="s">
        <v>502</v>
      </c>
      <c r="F698" s="9">
        <f>Source!AU522</f>
        <v>10</v>
      </c>
      <c r="G698" s="22"/>
      <c r="H698" s="21"/>
      <c r="I698" s="9"/>
      <c r="J698" s="9"/>
      <c r="K698" s="22">
        <f>SUM(T692:T697)</f>
        <v>208</v>
      </c>
      <c r="L698" s="22"/>
    </row>
    <row r="699" spans="1:22" ht="14.25" x14ac:dyDescent="0.2">
      <c r="A699" s="19"/>
      <c r="B699" s="19"/>
      <c r="C699" s="19"/>
      <c r="D699" s="19" t="s">
        <v>509</v>
      </c>
      <c r="E699" s="20" t="s">
        <v>502</v>
      </c>
      <c r="F699" s="9">
        <f>108</f>
        <v>108</v>
      </c>
      <c r="G699" s="22"/>
      <c r="H699" s="21"/>
      <c r="I699" s="9"/>
      <c r="J699" s="9"/>
      <c r="K699" s="22">
        <f>SUM(V692:V698)</f>
        <v>535.36</v>
      </c>
      <c r="L699" s="22"/>
    </row>
    <row r="700" spans="1:22" ht="14.25" x14ac:dyDescent="0.2">
      <c r="A700" s="19"/>
      <c r="B700" s="19"/>
      <c r="C700" s="19"/>
      <c r="D700" s="19" t="s">
        <v>504</v>
      </c>
      <c r="E700" s="20" t="s">
        <v>505</v>
      </c>
      <c r="F700" s="9">
        <f>Source!AQ522</f>
        <v>0.37</v>
      </c>
      <c r="G700" s="22"/>
      <c r="H700" s="21" t="str">
        <f>Source!DI522</f>
        <v/>
      </c>
      <c r="I700" s="9">
        <f>Source!AV522</f>
        <v>1</v>
      </c>
      <c r="J700" s="9"/>
      <c r="K700" s="22"/>
      <c r="L700" s="22">
        <f>Source!U522</f>
        <v>3.7</v>
      </c>
    </row>
    <row r="701" spans="1:22" ht="15" x14ac:dyDescent="0.25">
      <c r="A701" s="25"/>
      <c r="B701" s="25"/>
      <c r="C701" s="25"/>
      <c r="D701" s="25"/>
      <c r="E701" s="25"/>
      <c r="F701" s="25"/>
      <c r="G701" s="25"/>
      <c r="H701" s="25"/>
      <c r="I701" s="25"/>
      <c r="J701" s="52">
        <f>K694+K695+K697+K698+K699</f>
        <v>5061.16</v>
      </c>
      <c r="K701" s="52"/>
      <c r="L701" s="26">
        <f>IF(Source!I522&lt;&gt;0, ROUND(J701/Source!I522, 2), 0)</f>
        <v>506.12</v>
      </c>
      <c r="P701" s="24">
        <f>J701</f>
        <v>5061.16</v>
      </c>
    </row>
    <row r="702" spans="1:22" ht="28.5" x14ac:dyDescent="0.2">
      <c r="A702" s="19">
        <v>68</v>
      </c>
      <c r="B702" s="19">
        <v>68</v>
      </c>
      <c r="C702" s="19" t="str">
        <f>Source!F527</f>
        <v>1.15-2303-4-1/1</v>
      </c>
      <c r="D702" s="19" t="str">
        <f>Source!G527</f>
        <v>Прочистка сетчатых фильтров грубой очистки воды диаметром до 25 мм</v>
      </c>
      <c r="E702" s="20" t="str">
        <f>Source!H527</f>
        <v>10 шт.</v>
      </c>
      <c r="F702" s="9">
        <f>Source!I527</f>
        <v>1</v>
      </c>
      <c r="G702" s="22"/>
      <c r="H702" s="21"/>
      <c r="I702" s="9"/>
      <c r="J702" s="9"/>
      <c r="K702" s="22"/>
      <c r="L702" s="22"/>
      <c r="Q702">
        <f>ROUND((Source!BZ527/100)*ROUND((Source!AF527*Source!AV527)*Source!I527, 2), 2)</f>
        <v>1763.55</v>
      </c>
      <c r="R702">
        <f>Source!X527</f>
        <v>1763.55</v>
      </c>
      <c r="S702">
        <f>ROUND((Source!CA527/100)*ROUND((Source!AF527*Source!AV527)*Source!I527, 2), 2)</f>
        <v>251.94</v>
      </c>
      <c r="T702">
        <f>Source!Y527</f>
        <v>251.94</v>
      </c>
      <c r="U702">
        <f>ROUND((175/100)*ROUND((Source!AE527*Source!AV527)*Source!I527, 2), 2)</f>
        <v>0</v>
      </c>
      <c r="V702">
        <f>ROUND((108/100)*ROUND(Source!CS527*Source!I527, 2), 2)</f>
        <v>0</v>
      </c>
    </row>
    <row r="703" spans="1:22" x14ac:dyDescent="0.2">
      <c r="D703" s="23" t="str">
        <f>"Объем: "&amp;Source!I527&amp;"=10/"&amp;"10"</f>
        <v>Объем: 1=10/10</v>
      </c>
    </row>
    <row r="704" spans="1:22" ht="14.25" x14ac:dyDescent="0.2">
      <c r="A704" s="19"/>
      <c r="B704" s="19"/>
      <c r="C704" s="19"/>
      <c r="D704" s="19" t="s">
        <v>500</v>
      </c>
      <c r="E704" s="20"/>
      <c r="F704" s="9"/>
      <c r="G704" s="22">
        <f>Source!AO527</f>
        <v>1259.68</v>
      </c>
      <c r="H704" s="21" t="str">
        <f>Source!DG527</f>
        <v>)*2</v>
      </c>
      <c r="I704" s="9">
        <f>Source!AV527</f>
        <v>1</v>
      </c>
      <c r="J704" s="9">
        <f>IF(Source!BA527&lt;&gt; 0, Source!BA527, 1)</f>
        <v>1</v>
      </c>
      <c r="K704" s="22">
        <f>Source!S527</f>
        <v>2519.36</v>
      </c>
      <c r="L704" s="22"/>
    </row>
    <row r="705" spans="1:22" ht="14.25" x14ac:dyDescent="0.2">
      <c r="A705" s="19"/>
      <c r="B705" s="19"/>
      <c r="C705" s="19"/>
      <c r="D705" s="19" t="s">
        <v>501</v>
      </c>
      <c r="E705" s="20" t="s">
        <v>502</v>
      </c>
      <c r="F705" s="9">
        <f>Source!AT527</f>
        <v>70</v>
      </c>
      <c r="G705" s="22"/>
      <c r="H705" s="21"/>
      <c r="I705" s="9"/>
      <c r="J705" s="9"/>
      <c r="K705" s="22">
        <f>SUM(R702:R704)</f>
        <v>1763.55</v>
      </c>
      <c r="L705" s="22"/>
    </row>
    <row r="706" spans="1:22" ht="14.25" x14ac:dyDescent="0.2">
      <c r="A706" s="19"/>
      <c r="B706" s="19"/>
      <c r="C706" s="19"/>
      <c r="D706" s="19" t="s">
        <v>503</v>
      </c>
      <c r="E706" s="20" t="s">
        <v>502</v>
      </c>
      <c r="F706" s="9">
        <f>Source!AU527</f>
        <v>10</v>
      </c>
      <c r="G706" s="22"/>
      <c r="H706" s="21"/>
      <c r="I706" s="9"/>
      <c r="J706" s="9"/>
      <c r="K706" s="22">
        <f>SUM(T702:T705)</f>
        <v>251.94</v>
      </c>
      <c r="L706" s="22"/>
    </row>
    <row r="707" spans="1:22" ht="14.25" x14ac:dyDescent="0.2">
      <c r="A707" s="19"/>
      <c r="B707" s="19"/>
      <c r="C707" s="19"/>
      <c r="D707" s="19" t="s">
        <v>504</v>
      </c>
      <c r="E707" s="20" t="s">
        <v>505</v>
      </c>
      <c r="F707" s="9">
        <f>Source!AQ527</f>
        <v>2.04</v>
      </c>
      <c r="G707" s="22"/>
      <c r="H707" s="21" t="str">
        <f>Source!DI527</f>
        <v>)*2</v>
      </c>
      <c r="I707" s="9">
        <f>Source!AV527</f>
        <v>1</v>
      </c>
      <c r="J707" s="9"/>
      <c r="K707" s="22"/>
      <c r="L707" s="22">
        <f>Source!U527</f>
        <v>4.08</v>
      </c>
    </row>
    <row r="708" spans="1:22" ht="15" x14ac:dyDescent="0.25">
      <c r="A708" s="25"/>
      <c r="B708" s="25"/>
      <c r="C708" s="25"/>
      <c r="D708" s="25"/>
      <c r="E708" s="25"/>
      <c r="F708" s="25"/>
      <c r="G708" s="25"/>
      <c r="H708" s="25"/>
      <c r="I708" s="25"/>
      <c r="J708" s="52">
        <f>K704+K705+K706</f>
        <v>4534.8499999999995</v>
      </c>
      <c r="K708" s="52"/>
      <c r="L708" s="26">
        <f>IF(Source!I527&lt;&gt;0, ROUND(J708/Source!I527, 2), 0)</f>
        <v>4534.8500000000004</v>
      </c>
      <c r="P708" s="24">
        <f>J708</f>
        <v>4534.8499999999995</v>
      </c>
    </row>
    <row r="709" spans="1:22" ht="42.75" x14ac:dyDescent="0.2">
      <c r="A709" s="19">
        <v>69</v>
      </c>
      <c r="B709" s="19">
        <v>69</v>
      </c>
      <c r="C709" s="19" t="str">
        <f>Source!F528</f>
        <v>1.23-2103-41-1/1</v>
      </c>
      <c r="D709" s="19" t="str">
        <f>Source!G528</f>
        <v>Техническое обслуживание регулирующего клапана/ прим. Клапан предохранительный ДУ 15</v>
      </c>
      <c r="E709" s="20" t="str">
        <f>Source!H528</f>
        <v>шт.</v>
      </c>
      <c r="F709" s="9">
        <f>Source!I528</f>
        <v>10</v>
      </c>
      <c r="G709" s="22"/>
      <c r="H709" s="21"/>
      <c r="I709" s="9"/>
      <c r="J709" s="9"/>
      <c r="K709" s="22"/>
      <c r="L709" s="22"/>
      <c r="Q709">
        <f>ROUND((Source!BZ528/100)*ROUND((Source!AF528*Source!AV528)*Source!I528, 2), 2)</f>
        <v>2912</v>
      </c>
      <c r="R709">
        <f>Source!X528</f>
        <v>2912</v>
      </c>
      <c r="S709">
        <f>ROUND((Source!CA528/100)*ROUND((Source!AF528*Source!AV528)*Source!I528, 2), 2)</f>
        <v>416</v>
      </c>
      <c r="T709">
        <f>Source!Y528</f>
        <v>416</v>
      </c>
      <c r="U709">
        <f>ROUND((175/100)*ROUND((Source!AE528*Source!AV528)*Source!I528, 2), 2)</f>
        <v>1734.95</v>
      </c>
      <c r="V709">
        <f>ROUND((108/100)*ROUND(Source!CS528*Source!I528, 2), 2)</f>
        <v>1070.71</v>
      </c>
    </row>
    <row r="710" spans="1:22" x14ac:dyDescent="0.2">
      <c r="D710" s="23" t="str">
        <f>"Объем: "&amp;Source!I528&amp;"=1*"&amp;"10"</f>
        <v>Объем: 10=1*10</v>
      </c>
    </row>
    <row r="711" spans="1:22" ht="14.25" x14ac:dyDescent="0.2">
      <c r="A711" s="19"/>
      <c r="B711" s="19"/>
      <c r="C711" s="19"/>
      <c r="D711" s="19" t="s">
        <v>500</v>
      </c>
      <c r="E711" s="20"/>
      <c r="F711" s="9"/>
      <c r="G711" s="22">
        <f>Source!AO528</f>
        <v>208</v>
      </c>
      <c r="H711" s="21" t="str">
        <f>Source!DG528</f>
        <v>)*2</v>
      </c>
      <c r="I711" s="9">
        <f>Source!AV528</f>
        <v>1</v>
      </c>
      <c r="J711" s="9">
        <f>IF(Source!BA528&lt;&gt; 0, Source!BA528, 1)</f>
        <v>1</v>
      </c>
      <c r="K711" s="22">
        <f>Source!S528</f>
        <v>4160</v>
      </c>
      <c r="L711" s="22"/>
    </row>
    <row r="712" spans="1:22" ht="14.25" x14ac:dyDescent="0.2">
      <c r="A712" s="19"/>
      <c r="B712" s="19"/>
      <c r="C712" s="19"/>
      <c r="D712" s="19" t="s">
        <v>506</v>
      </c>
      <c r="E712" s="20"/>
      <c r="F712" s="9"/>
      <c r="G712" s="22">
        <f>Source!AM528</f>
        <v>78.180000000000007</v>
      </c>
      <c r="H712" s="21" t="str">
        <f>Source!DE528</f>
        <v>)*2</v>
      </c>
      <c r="I712" s="9">
        <f>Source!AV528</f>
        <v>1</v>
      </c>
      <c r="J712" s="9">
        <f>IF(Source!BB528&lt;&gt; 0, Source!BB528, 1)</f>
        <v>1</v>
      </c>
      <c r="K712" s="22">
        <f>Source!Q528</f>
        <v>1563.6</v>
      </c>
      <c r="L712" s="22"/>
    </row>
    <row r="713" spans="1:22" ht="14.25" x14ac:dyDescent="0.2">
      <c r="A713" s="19"/>
      <c r="B713" s="19"/>
      <c r="C713" s="19"/>
      <c r="D713" s="19" t="s">
        <v>507</v>
      </c>
      <c r="E713" s="20"/>
      <c r="F713" s="9"/>
      <c r="G713" s="22">
        <f>Source!AN528</f>
        <v>49.57</v>
      </c>
      <c r="H713" s="21" t="str">
        <f>Source!DF528</f>
        <v>)*2</v>
      </c>
      <c r="I713" s="9">
        <f>Source!AV528</f>
        <v>1</v>
      </c>
      <c r="J713" s="9">
        <f>IF(Source!BS528&lt;&gt; 0, Source!BS528, 1)</f>
        <v>1</v>
      </c>
      <c r="K713" s="27">
        <f>Source!R528</f>
        <v>991.4</v>
      </c>
      <c r="L713" s="22"/>
    </row>
    <row r="714" spans="1:22" ht="14.25" x14ac:dyDescent="0.2">
      <c r="A714" s="19"/>
      <c r="B714" s="19"/>
      <c r="C714" s="19"/>
      <c r="D714" s="19" t="s">
        <v>501</v>
      </c>
      <c r="E714" s="20" t="s">
        <v>502</v>
      </c>
      <c r="F714" s="9">
        <f>Source!AT528</f>
        <v>70</v>
      </c>
      <c r="G714" s="22"/>
      <c r="H714" s="21"/>
      <c r="I714" s="9"/>
      <c r="J714" s="9"/>
      <c r="K714" s="22">
        <f>SUM(R709:R713)</f>
        <v>2912</v>
      </c>
      <c r="L714" s="22"/>
    </row>
    <row r="715" spans="1:22" ht="14.25" x14ac:dyDescent="0.2">
      <c r="A715" s="19"/>
      <c r="B715" s="19"/>
      <c r="C715" s="19"/>
      <c r="D715" s="19" t="s">
        <v>503</v>
      </c>
      <c r="E715" s="20" t="s">
        <v>502</v>
      </c>
      <c r="F715" s="9">
        <f>Source!AU528</f>
        <v>10</v>
      </c>
      <c r="G715" s="22"/>
      <c r="H715" s="21"/>
      <c r="I715" s="9"/>
      <c r="J715" s="9"/>
      <c r="K715" s="22">
        <f>SUM(T709:T714)</f>
        <v>416</v>
      </c>
      <c r="L715" s="22"/>
    </row>
    <row r="716" spans="1:22" ht="14.25" x14ac:dyDescent="0.2">
      <c r="A716" s="19"/>
      <c r="B716" s="19"/>
      <c r="C716" s="19"/>
      <c r="D716" s="19" t="s">
        <v>509</v>
      </c>
      <c r="E716" s="20" t="s">
        <v>502</v>
      </c>
      <c r="F716" s="9">
        <f>108</f>
        <v>108</v>
      </c>
      <c r="G716" s="22"/>
      <c r="H716" s="21"/>
      <c r="I716" s="9"/>
      <c r="J716" s="9"/>
      <c r="K716" s="22">
        <f>SUM(V709:V715)</f>
        <v>1070.71</v>
      </c>
      <c r="L716" s="22"/>
    </row>
    <row r="717" spans="1:22" ht="14.25" x14ac:dyDescent="0.2">
      <c r="A717" s="19"/>
      <c r="B717" s="19"/>
      <c r="C717" s="19"/>
      <c r="D717" s="19" t="s">
        <v>504</v>
      </c>
      <c r="E717" s="20" t="s">
        <v>505</v>
      </c>
      <c r="F717" s="9">
        <f>Source!AQ528</f>
        <v>0.37</v>
      </c>
      <c r="G717" s="22"/>
      <c r="H717" s="21" t="str">
        <f>Source!DI528</f>
        <v>)*2</v>
      </c>
      <c r="I717" s="9">
        <f>Source!AV528</f>
        <v>1</v>
      </c>
      <c r="J717" s="9"/>
      <c r="K717" s="22"/>
      <c r="L717" s="22">
        <f>Source!U528</f>
        <v>7.4</v>
      </c>
    </row>
    <row r="718" spans="1:22" ht="15" x14ac:dyDescent="0.25">
      <c r="A718" s="25"/>
      <c r="B718" s="25"/>
      <c r="C718" s="25"/>
      <c r="D718" s="25"/>
      <c r="E718" s="25"/>
      <c r="F718" s="25"/>
      <c r="G718" s="25"/>
      <c r="H718" s="25"/>
      <c r="I718" s="25"/>
      <c r="J718" s="52">
        <f>K711+K712+K714+K715+K716</f>
        <v>10122.310000000001</v>
      </c>
      <c r="K718" s="52"/>
      <c r="L718" s="26">
        <f>IF(Source!I528&lt;&gt;0, ROUND(J718/Source!I528, 2), 0)</f>
        <v>1012.23</v>
      </c>
      <c r="P718" s="24">
        <f>J718</f>
        <v>10122.310000000001</v>
      </c>
    </row>
    <row r="719" spans="1:22" ht="42.75" x14ac:dyDescent="0.2">
      <c r="A719" s="19">
        <v>70</v>
      </c>
      <c r="B719" s="19">
        <v>70</v>
      </c>
      <c r="C719" s="19" t="str">
        <f>Source!F529</f>
        <v>1.15-2203-7-1/1</v>
      </c>
      <c r="D719" s="19" t="str">
        <f>Source!G529</f>
        <v>Техническое обслуживание крана шарового латунного никелированного диаметром до 25 мм прим. Ду 15</v>
      </c>
      <c r="E719" s="20" t="str">
        <f>Source!H529</f>
        <v>10 шт.</v>
      </c>
      <c r="F719" s="9">
        <f>Source!I529</f>
        <v>7</v>
      </c>
      <c r="G719" s="22"/>
      <c r="H719" s="21"/>
      <c r="I719" s="9"/>
      <c r="J719" s="9"/>
      <c r="K719" s="22"/>
      <c r="L719" s="22"/>
      <c r="Q719">
        <f>ROUND((Source!BZ529/100)*ROUND((Source!AF529*Source!AV529)*Source!I529, 2), 2)</f>
        <v>1361.56</v>
      </c>
      <c r="R719">
        <f>Source!X529</f>
        <v>1361.56</v>
      </c>
      <c r="S719">
        <f>ROUND((Source!CA529/100)*ROUND((Source!AF529*Source!AV529)*Source!I529, 2), 2)</f>
        <v>194.51</v>
      </c>
      <c r="T719">
        <f>Source!Y529</f>
        <v>194.51</v>
      </c>
      <c r="U719">
        <f>ROUND((175/100)*ROUND((Source!AE529*Source!AV529)*Source!I529, 2), 2)</f>
        <v>0</v>
      </c>
      <c r="V719">
        <f>ROUND((108/100)*ROUND(Source!CS529*Source!I529, 2), 2)</f>
        <v>0</v>
      </c>
    </row>
    <row r="720" spans="1:22" x14ac:dyDescent="0.2">
      <c r="D720" s="23" t="str">
        <f>"Объем: "&amp;Source!I529&amp;"=7*"&amp;"10/"&amp;"10"</f>
        <v>Объем: 7=7*10/10</v>
      </c>
    </row>
    <row r="721" spans="1:22" ht="14.25" x14ac:dyDescent="0.2">
      <c r="A721" s="19"/>
      <c r="B721" s="19"/>
      <c r="C721" s="19"/>
      <c r="D721" s="19" t="s">
        <v>500</v>
      </c>
      <c r="E721" s="20"/>
      <c r="F721" s="9"/>
      <c r="G721" s="22">
        <f>Source!AO529</f>
        <v>277.87</v>
      </c>
      <c r="H721" s="21" t="str">
        <f>Source!DG529</f>
        <v/>
      </c>
      <c r="I721" s="9">
        <f>Source!AV529</f>
        <v>1</v>
      </c>
      <c r="J721" s="9">
        <f>IF(Source!BA529&lt;&gt; 0, Source!BA529, 1)</f>
        <v>1</v>
      </c>
      <c r="K721" s="22">
        <f>Source!S529</f>
        <v>1945.09</v>
      </c>
      <c r="L721" s="22"/>
    </row>
    <row r="722" spans="1:22" ht="14.25" x14ac:dyDescent="0.2">
      <c r="A722" s="19"/>
      <c r="B722" s="19"/>
      <c r="C722" s="19"/>
      <c r="D722" s="19" t="s">
        <v>501</v>
      </c>
      <c r="E722" s="20" t="s">
        <v>502</v>
      </c>
      <c r="F722" s="9">
        <f>Source!AT529</f>
        <v>70</v>
      </c>
      <c r="G722" s="22"/>
      <c r="H722" s="21"/>
      <c r="I722" s="9"/>
      <c r="J722" s="9"/>
      <c r="K722" s="22">
        <f>SUM(R719:R721)</f>
        <v>1361.56</v>
      </c>
      <c r="L722" s="22"/>
    </row>
    <row r="723" spans="1:22" ht="14.25" x14ac:dyDescent="0.2">
      <c r="A723" s="19"/>
      <c r="B723" s="19"/>
      <c r="C723" s="19"/>
      <c r="D723" s="19" t="s">
        <v>503</v>
      </c>
      <c r="E723" s="20" t="s">
        <v>502</v>
      </c>
      <c r="F723" s="9">
        <f>Source!AU529</f>
        <v>10</v>
      </c>
      <c r="G723" s="22"/>
      <c r="H723" s="21"/>
      <c r="I723" s="9"/>
      <c r="J723" s="9"/>
      <c r="K723" s="22">
        <f>SUM(T719:T722)</f>
        <v>194.51</v>
      </c>
      <c r="L723" s="22"/>
    </row>
    <row r="724" spans="1:22" ht="14.25" x14ac:dyDescent="0.2">
      <c r="A724" s="19"/>
      <c r="B724" s="19"/>
      <c r="C724" s="19"/>
      <c r="D724" s="19" t="s">
        <v>504</v>
      </c>
      <c r="E724" s="20" t="s">
        <v>505</v>
      </c>
      <c r="F724" s="9">
        <f>Source!AQ529</f>
        <v>0.45</v>
      </c>
      <c r="G724" s="22"/>
      <c r="H724" s="21" t="str">
        <f>Source!DI529</f>
        <v/>
      </c>
      <c r="I724" s="9">
        <f>Source!AV529</f>
        <v>1</v>
      </c>
      <c r="J724" s="9"/>
      <c r="K724" s="22"/>
      <c r="L724" s="22">
        <f>Source!U529</f>
        <v>3.15</v>
      </c>
    </row>
    <row r="725" spans="1:22" ht="15" x14ac:dyDescent="0.25">
      <c r="A725" s="25"/>
      <c r="B725" s="25"/>
      <c r="C725" s="25"/>
      <c r="D725" s="25"/>
      <c r="E725" s="25"/>
      <c r="F725" s="25"/>
      <c r="G725" s="25"/>
      <c r="H725" s="25"/>
      <c r="I725" s="25"/>
      <c r="J725" s="52">
        <f>K721+K722+K723</f>
        <v>3501.16</v>
      </c>
      <c r="K725" s="52"/>
      <c r="L725" s="26">
        <f>IF(Source!I529&lt;&gt;0, ROUND(J725/Source!I529, 2), 0)</f>
        <v>500.17</v>
      </c>
      <c r="P725" s="24">
        <f>J725</f>
        <v>3501.16</v>
      </c>
    </row>
    <row r="726" spans="1:22" ht="42.75" x14ac:dyDescent="0.2">
      <c r="A726" s="19">
        <v>71</v>
      </c>
      <c r="B726" s="19">
        <v>71</v>
      </c>
      <c r="C726" s="19" t="str">
        <f>Source!F530</f>
        <v>1.21-2303-24-1/1</v>
      </c>
      <c r="D726" s="19" t="str">
        <f>Source!G530</f>
        <v>Техническое обслуживание электроводонагревателей объемом до 80 литров</v>
      </c>
      <c r="E726" s="20" t="str">
        <f>Source!H530</f>
        <v>шт.</v>
      </c>
      <c r="F726" s="9">
        <f>Source!I530</f>
        <v>10</v>
      </c>
      <c r="G726" s="22"/>
      <c r="H726" s="21"/>
      <c r="I726" s="9"/>
      <c r="J726" s="9"/>
      <c r="K726" s="22"/>
      <c r="L726" s="22"/>
      <c r="Q726">
        <f>ROUND((Source!BZ530/100)*ROUND((Source!AF530*Source!AV530)*Source!I530, 2), 2)</f>
        <v>8708.2099999999991</v>
      </c>
      <c r="R726">
        <f>Source!X530</f>
        <v>8708.2099999999991</v>
      </c>
      <c r="S726">
        <f>ROUND((Source!CA530/100)*ROUND((Source!AF530*Source!AV530)*Source!I530, 2), 2)</f>
        <v>1244.03</v>
      </c>
      <c r="T726">
        <f>Source!Y530</f>
        <v>1244.03</v>
      </c>
      <c r="U726">
        <f>ROUND((175/100)*ROUND((Source!AE530*Source!AV530)*Source!I530, 2), 2)</f>
        <v>15658.48</v>
      </c>
      <c r="V726">
        <f>ROUND((108/100)*ROUND(Source!CS530*Source!I530, 2), 2)</f>
        <v>9663.52</v>
      </c>
    </row>
    <row r="727" spans="1:22" x14ac:dyDescent="0.2">
      <c r="D727" s="23" t="str">
        <f>"Объем: "&amp;Source!I530&amp;"=1*"&amp;"10"</f>
        <v>Объем: 10=1*10</v>
      </c>
    </row>
    <row r="728" spans="1:22" ht="14.25" x14ac:dyDescent="0.2">
      <c r="A728" s="19"/>
      <c r="B728" s="19"/>
      <c r="C728" s="19"/>
      <c r="D728" s="19" t="s">
        <v>500</v>
      </c>
      <c r="E728" s="20"/>
      <c r="F728" s="9"/>
      <c r="G728" s="22">
        <f>Source!AO530</f>
        <v>1244.03</v>
      </c>
      <c r="H728" s="21" t="str">
        <f>Source!DG530</f>
        <v/>
      </c>
      <c r="I728" s="9">
        <f>Source!AV530</f>
        <v>1</v>
      </c>
      <c r="J728" s="9">
        <f>IF(Source!BA530&lt;&gt; 0, Source!BA530, 1)</f>
        <v>1</v>
      </c>
      <c r="K728" s="22">
        <f>Source!S530</f>
        <v>12440.3</v>
      </c>
      <c r="L728" s="22"/>
    </row>
    <row r="729" spans="1:22" ht="14.25" x14ac:dyDescent="0.2">
      <c r="A729" s="19"/>
      <c r="B729" s="19"/>
      <c r="C729" s="19"/>
      <c r="D729" s="19" t="s">
        <v>506</v>
      </c>
      <c r="E729" s="20"/>
      <c r="F729" s="9"/>
      <c r="G729" s="22">
        <f>Source!AM530</f>
        <v>1411.16</v>
      </c>
      <c r="H729" s="21" t="str">
        <f>Source!DE530</f>
        <v/>
      </c>
      <c r="I729" s="9">
        <f>Source!AV530</f>
        <v>1</v>
      </c>
      <c r="J729" s="9">
        <f>IF(Source!BB530&lt;&gt; 0, Source!BB530, 1)</f>
        <v>1</v>
      </c>
      <c r="K729" s="22">
        <f>Source!Q530</f>
        <v>14111.6</v>
      </c>
      <c r="L729" s="22"/>
    </row>
    <row r="730" spans="1:22" ht="14.25" x14ac:dyDescent="0.2">
      <c r="A730" s="19"/>
      <c r="B730" s="19"/>
      <c r="C730" s="19"/>
      <c r="D730" s="19" t="s">
        <v>507</v>
      </c>
      <c r="E730" s="20"/>
      <c r="F730" s="9"/>
      <c r="G730" s="22">
        <f>Source!AN530</f>
        <v>894.77</v>
      </c>
      <c r="H730" s="21" t="str">
        <f>Source!DF530</f>
        <v/>
      </c>
      <c r="I730" s="9">
        <f>Source!AV530</f>
        <v>1</v>
      </c>
      <c r="J730" s="9">
        <f>IF(Source!BS530&lt;&gt; 0, Source!BS530, 1)</f>
        <v>1</v>
      </c>
      <c r="K730" s="27">
        <f>Source!R530</f>
        <v>8947.7000000000007</v>
      </c>
      <c r="L730" s="22"/>
    </row>
    <row r="731" spans="1:22" ht="14.25" x14ac:dyDescent="0.2">
      <c r="A731" s="19"/>
      <c r="B731" s="19"/>
      <c r="C731" s="19"/>
      <c r="D731" s="19" t="s">
        <v>508</v>
      </c>
      <c r="E731" s="20"/>
      <c r="F731" s="9"/>
      <c r="G731" s="22">
        <f>Source!AL530</f>
        <v>0.63</v>
      </c>
      <c r="H731" s="21" t="str">
        <f>Source!DD530</f>
        <v/>
      </c>
      <c r="I731" s="9">
        <f>Source!AW530</f>
        <v>1</v>
      </c>
      <c r="J731" s="9">
        <f>IF(Source!BC530&lt;&gt; 0, Source!BC530, 1)</f>
        <v>1</v>
      </c>
      <c r="K731" s="22">
        <f>Source!P530</f>
        <v>6.3</v>
      </c>
      <c r="L731" s="22"/>
    </row>
    <row r="732" spans="1:22" ht="14.25" x14ac:dyDescent="0.2">
      <c r="A732" s="19"/>
      <c r="B732" s="19"/>
      <c r="C732" s="19"/>
      <c r="D732" s="19" t="s">
        <v>501</v>
      </c>
      <c r="E732" s="20" t="s">
        <v>502</v>
      </c>
      <c r="F732" s="9">
        <f>Source!AT530</f>
        <v>70</v>
      </c>
      <c r="G732" s="22"/>
      <c r="H732" s="21"/>
      <c r="I732" s="9"/>
      <c r="J732" s="9"/>
      <c r="K732" s="22">
        <f>SUM(R726:R731)</f>
        <v>8708.2099999999991</v>
      </c>
      <c r="L732" s="22"/>
    </row>
    <row r="733" spans="1:22" ht="14.25" x14ac:dyDescent="0.2">
      <c r="A733" s="19"/>
      <c r="B733" s="19"/>
      <c r="C733" s="19"/>
      <c r="D733" s="19" t="s">
        <v>503</v>
      </c>
      <c r="E733" s="20" t="s">
        <v>502</v>
      </c>
      <c r="F733" s="9">
        <f>Source!AU530</f>
        <v>10</v>
      </c>
      <c r="G733" s="22"/>
      <c r="H733" s="21"/>
      <c r="I733" s="9"/>
      <c r="J733" s="9"/>
      <c r="K733" s="22">
        <f>SUM(T726:T732)</f>
        <v>1244.03</v>
      </c>
      <c r="L733" s="22"/>
    </row>
    <row r="734" spans="1:22" ht="14.25" x14ac:dyDescent="0.2">
      <c r="A734" s="19"/>
      <c r="B734" s="19"/>
      <c r="C734" s="19"/>
      <c r="D734" s="19" t="s">
        <v>509</v>
      </c>
      <c r="E734" s="20" t="s">
        <v>502</v>
      </c>
      <c r="F734" s="9">
        <f>108</f>
        <v>108</v>
      </c>
      <c r="G734" s="22"/>
      <c r="H734" s="21"/>
      <c r="I734" s="9"/>
      <c r="J734" s="9"/>
      <c r="K734" s="22">
        <f>SUM(V726:V733)</f>
        <v>9663.52</v>
      </c>
      <c r="L734" s="22"/>
    </row>
    <row r="735" spans="1:22" ht="14.25" x14ac:dyDescent="0.2">
      <c r="A735" s="19"/>
      <c r="B735" s="19"/>
      <c r="C735" s="19"/>
      <c r="D735" s="19" t="s">
        <v>504</v>
      </c>
      <c r="E735" s="20" t="s">
        <v>505</v>
      </c>
      <c r="F735" s="9">
        <f>Source!AQ530</f>
        <v>1.75</v>
      </c>
      <c r="G735" s="22"/>
      <c r="H735" s="21" t="str">
        <f>Source!DI530</f>
        <v/>
      </c>
      <c r="I735" s="9">
        <f>Source!AV530</f>
        <v>1</v>
      </c>
      <c r="J735" s="9"/>
      <c r="K735" s="22"/>
      <c r="L735" s="22">
        <f>Source!U530</f>
        <v>17.5</v>
      </c>
    </row>
    <row r="736" spans="1:22" ht="15" x14ac:dyDescent="0.25">
      <c r="A736" s="25"/>
      <c r="B736" s="25"/>
      <c r="C736" s="25"/>
      <c r="D736" s="25"/>
      <c r="E736" s="25"/>
      <c r="F736" s="25"/>
      <c r="G736" s="25"/>
      <c r="H736" s="25"/>
      <c r="I736" s="25"/>
      <c r="J736" s="52">
        <f>K728+K729+K731+K732+K733+K734</f>
        <v>46173.960000000006</v>
      </c>
      <c r="K736" s="52"/>
      <c r="L736" s="26">
        <f>IF(Source!I530&lt;&gt;0, ROUND(J736/Source!I530, 2), 0)</f>
        <v>4617.3999999999996</v>
      </c>
      <c r="P736" s="24">
        <f>J736</f>
        <v>46173.960000000006</v>
      </c>
    </row>
    <row r="738" spans="1:22" ht="15" x14ac:dyDescent="0.25">
      <c r="A738" s="54" t="str">
        <f>CONCATENATE("Итого по подразделу: ",IF(Source!G534&lt;&gt;"Новый подраздел", Source!G534, ""))</f>
        <v>Итого по подразделу: Система внутреннего водоснабжения и водоотведения</v>
      </c>
      <c r="B738" s="54"/>
      <c r="C738" s="54"/>
      <c r="D738" s="54"/>
      <c r="E738" s="54"/>
      <c r="F738" s="54"/>
      <c r="G738" s="54"/>
      <c r="H738" s="54"/>
      <c r="I738" s="54"/>
      <c r="J738" s="53">
        <f>SUM(P626:P737)</f>
        <v>126579.98000000001</v>
      </c>
      <c r="K738" s="73"/>
      <c r="L738" s="28"/>
    </row>
    <row r="741" spans="1:22" ht="16.5" x14ac:dyDescent="0.25">
      <c r="A741" s="51" t="str">
        <f>CONCATENATE("Подраздел: ",IF(Source!G564&lt;&gt;"Новый подраздел", Source!G564, ""))</f>
        <v>Подраздел: Отопление</v>
      </c>
      <c r="B741" s="51"/>
      <c r="C741" s="51"/>
      <c r="D741" s="51"/>
      <c r="E741" s="51"/>
      <c r="F741" s="51"/>
      <c r="G741" s="51"/>
      <c r="H741" s="51"/>
      <c r="I741" s="51"/>
      <c r="J741" s="51"/>
      <c r="K741" s="51"/>
      <c r="L741" s="51"/>
    </row>
    <row r="742" spans="1:22" ht="57" x14ac:dyDescent="0.2">
      <c r="A742" s="19">
        <v>72</v>
      </c>
      <c r="B742" s="19">
        <v>72</v>
      </c>
      <c r="C742" s="19" t="str">
        <f>Source!F569</f>
        <v>1.21-2303-50-1/1</v>
      </c>
      <c r="D742" s="19" t="str">
        <f>Source!G569</f>
        <v>Техническое обслуживание  конвектора электрического настенного крепления, с механическим термостатом, мощность до 2,0 кВт</v>
      </c>
      <c r="E742" s="20" t="str">
        <f>Source!H569</f>
        <v>шт.</v>
      </c>
      <c r="F742" s="9">
        <f>Source!I569</f>
        <v>30</v>
      </c>
      <c r="G742" s="22"/>
      <c r="H742" s="21"/>
      <c r="I742" s="9"/>
      <c r="J742" s="9"/>
      <c r="K742" s="22"/>
      <c r="L742" s="22"/>
      <c r="Q742">
        <f>ROUND((Source!BZ569/100)*ROUND((Source!AF569*Source!AV569)*Source!I569, 2), 2)</f>
        <v>1815.45</v>
      </c>
      <c r="R742">
        <f>Source!X569</f>
        <v>1815.45</v>
      </c>
      <c r="S742">
        <f>ROUND((Source!CA569/100)*ROUND((Source!AF569*Source!AV569)*Source!I569, 2), 2)</f>
        <v>259.35000000000002</v>
      </c>
      <c r="T742">
        <f>Source!Y569</f>
        <v>259.35000000000002</v>
      </c>
      <c r="U742">
        <f>ROUND((175/100)*ROUND((Source!AE569*Source!AV569)*Source!I569, 2), 2)</f>
        <v>0</v>
      </c>
      <c r="V742">
        <f>ROUND((108/100)*ROUND(Source!CS569*Source!I569, 2), 2)</f>
        <v>0</v>
      </c>
    </row>
    <row r="743" spans="1:22" x14ac:dyDescent="0.2">
      <c r="D743" s="23" t="str">
        <f>"Объем: "&amp;Source!I569&amp;"=3*"&amp;"10"</f>
        <v>Объем: 30=3*10</v>
      </c>
    </row>
    <row r="744" spans="1:22" ht="14.25" x14ac:dyDescent="0.2">
      <c r="A744" s="19"/>
      <c r="B744" s="19"/>
      <c r="C744" s="19"/>
      <c r="D744" s="19" t="s">
        <v>500</v>
      </c>
      <c r="E744" s="20"/>
      <c r="F744" s="9"/>
      <c r="G744" s="22">
        <f>Source!AO569</f>
        <v>86.45</v>
      </c>
      <c r="H744" s="21" t="str">
        <f>Source!DG569</f>
        <v/>
      </c>
      <c r="I744" s="9">
        <f>Source!AV569</f>
        <v>1</v>
      </c>
      <c r="J744" s="9">
        <f>IF(Source!BA569&lt;&gt; 0, Source!BA569, 1)</f>
        <v>1</v>
      </c>
      <c r="K744" s="22">
        <f>Source!S569</f>
        <v>2593.5</v>
      </c>
      <c r="L744" s="22"/>
    </row>
    <row r="745" spans="1:22" ht="14.25" x14ac:dyDescent="0.2">
      <c r="A745" s="19"/>
      <c r="B745" s="19"/>
      <c r="C745" s="19"/>
      <c r="D745" s="19" t="s">
        <v>506</v>
      </c>
      <c r="E745" s="20"/>
      <c r="F745" s="9"/>
      <c r="G745" s="22">
        <f>Source!AM569</f>
        <v>0.23</v>
      </c>
      <c r="H745" s="21" t="str">
        <f>Source!DE569</f>
        <v/>
      </c>
      <c r="I745" s="9">
        <f>Source!AV569</f>
        <v>1</v>
      </c>
      <c r="J745" s="9">
        <f>IF(Source!BB569&lt;&gt; 0, Source!BB569, 1)</f>
        <v>1</v>
      </c>
      <c r="K745" s="22">
        <f>Source!Q569</f>
        <v>6.9</v>
      </c>
      <c r="L745" s="22"/>
    </row>
    <row r="746" spans="1:22" ht="14.25" x14ac:dyDescent="0.2">
      <c r="A746" s="19"/>
      <c r="B746" s="19"/>
      <c r="C746" s="19"/>
      <c r="D746" s="19" t="s">
        <v>508</v>
      </c>
      <c r="E746" s="20"/>
      <c r="F746" s="9"/>
      <c r="G746" s="22">
        <f>Source!AL569</f>
        <v>2.2000000000000002</v>
      </c>
      <c r="H746" s="21" t="str">
        <f>Source!DD569</f>
        <v/>
      </c>
      <c r="I746" s="9">
        <f>Source!AW569</f>
        <v>1</v>
      </c>
      <c r="J746" s="9">
        <f>IF(Source!BC569&lt;&gt; 0, Source!BC569, 1)</f>
        <v>1</v>
      </c>
      <c r="K746" s="22">
        <f>Source!P569</f>
        <v>66</v>
      </c>
      <c r="L746" s="22"/>
    </row>
    <row r="747" spans="1:22" ht="14.25" x14ac:dyDescent="0.2">
      <c r="A747" s="19"/>
      <c r="B747" s="19"/>
      <c r="C747" s="19"/>
      <c r="D747" s="19" t="s">
        <v>501</v>
      </c>
      <c r="E747" s="20" t="s">
        <v>502</v>
      </c>
      <c r="F747" s="9">
        <f>Source!AT569</f>
        <v>70</v>
      </c>
      <c r="G747" s="22"/>
      <c r="H747" s="21"/>
      <c r="I747" s="9"/>
      <c r="J747" s="9"/>
      <c r="K747" s="22">
        <f>SUM(R742:R746)</f>
        <v>1815.45</v>
      </c>
      <c r="L747" s="22"/>
    </row>
    <row r="748" spans="1:22" ht="14.25" x14ac:dyDescent="0.2">
      <c r="A748" s="19"/>
      <c r="B748" s="19"/>
      <c r="C748" s="19"/>
      <c r="D748" s="19" t="s">
        <v>503</v>
      </c>
      <c r="E748" s="20" t="s">
        <v>502</v>
      </c>
      <c r="F748" s="9">
        <f>Source!AU569</f>
        <v>10</v>
      </c>
      <c r="G748" s="22"/>
      <c r="H748" s="21"/>
      <c r="I748" s="9"/>
      <c r="J748" s="9"/>
      <c r="K748" s="22">
        <f>SUM(T742:T747)</f>
        <v>259.35000000000002</v>
      </c>
      <c r="L748" s="22"/>
    </row>
    <row r="749" spans="1:22" ht="14.25" x14ac:dyDescent="0.2">
      <c r="A749" s="19"/>
      <c r="B749" s="19"/>
      <c r="C749" s="19"/>
      <c r="D749" s="19" t="s">
        <v>504</v>
      </c>
      <c r="E749" s="20" t="s">
        <v>505</v>
      </c>
      <c r="F749" s="9">
        <f>Source!AQ569</f>
        <v>0.14000000000000001</v>
      </c>
      <c r="G749" s="22"/>
      <c r="H749" s="21" t="str">
        <f>Source!DI569</f>
        <v/>
      </c>
      <c r="I749" s="9">
        <f>Source!AV569</f>
        <v>1</v>
      </c>
      <c r="J749" s="9"/>
      <c r="K749" s="22"/>
      <c r="L749" s="22">
        <f>Source!U569</f>
        <v>4.2</v>
      </c>
    </row>
    <row r="750" spans="1:22" ht="15" x14ac:dyDescent="0.25">
      <c r="A750" s="25"/>
      <c r="B750" s="25"/>
      <c r="C750" s="25"/>
      <c r="D750" s="25"/>
      <c r="E750" s="25"/>
      <c r="F750" s="25"/>
      <c r="G750" s="25"/>
      <c r="H750" s="25"/>
      <c r="I750" s="25"/>
      <c r="J750" s="52">
        <f>K744+K745+K746+K747+K748</f>
        <v>4741.2000000000007</v>
      </c>
      <c r="K750" s="52"/>
      <c r="L750" s="26">
        <f>IF(Source!I569&lt;&gt;0, ROUND(J750/Source!I569, 2), 0)</f>
        <v>158.04</v>
      </c>
      <c r="P750" s="24">
        <f>J750</f>
        <v>4741.2000000000007</v>
      </c>
    </row>
    <row r="752" spans="1:22" ht="15" x14ac:dyDescent="0.25">
      <c r="A752" s="54" t="str">
        <f>CONCATENATE("Итого по подразделу: ",IF(Source!G572&lt;&gt;"Новый подраздел", Source!G572, ""))</f>
        <v>Итого по подразделу: Отопление</v>
      </c>
      <c r="B752" s="54"/>
      <c r="C752" s="54"/>
      <c r="D752" s="54"/>
      <c r="E752" s="54"/>
      <c r="F752" s="54"/>
      <c r="G752" s="54"/>
      <c r="H752" s="54"/>
      <c r="I752" s="54"/>
      <c r="J752" s="53">
        <f>SUM(P741:P751)</f>
        <v>4741.2000000000007</v>
      </c>
      <c r="K752" s="73"/>
      <c r="L752" s="28"/>
    </row>
    <row r="755" spans="1:22" ht="16.5" x14ac:dyDescent="0.25">
      <c r="A755" s="51" t="str">
        <f>CONCATENATE("Подраздел: ",IF(Source!G602&lt;&gt;"Новый подраздел", Source!G602, ""))</f>
        <v>Подраздел: Вентиляция и кондиционирование</v>
      </c>
      <c r="B755" s="51"/>
      <c r="C755" s="51"/>
      <c r="D755" s="51"/>
      <c r="E755" s="51"/>
      <c r="F755" s="51"/>
      <c r="G755" s="51"/>
      <c r="H755" s="51"/>
      <c r="I755" s="51"/>
      <c r="J755" s="51"/>
      <c r="K755" s="51"/>
      <c r="L755" s="51"/>
    </row>
    <row r="756" spans="1:22" ht="28.5" x14ac:dyDescent="0.2">
      <c r="A756" s="19">
        <v>73</v>
      </c>
      <c r="B756" s="19">
        <v>73</v>
      </c>
      <c r="C756" s="19" t="str">
        <f>Source!F607</f>
        <v>1.18-2303-3-2/1</v>
      </c>
      <c r="D756" s="19" t="str">
        <f>Source!G607</f>
        <v>Техническое обслуживание канального вентилятора - ежеквартальное</v>
      </c>
      <c r="E756" s="20" t="str">
        <f>Source!H607</f>
        <v>шт.</v>
      </c>
      <c r="F756" s="9">
        <f>Source!I607</f>
        <v>10</v>
      </c>
      <c r="G756" s="22"/>
      <c r="H756" s="21"/>
      <c r="I756" s="9"/>
      <c r="J756" s="9"/>
      <c r="K756" s="22"/>
      <c r="L756" s="22"/>
      <c r="Q756">
        <f>ROUND((Source!BZ607/100)*ROUND((Source!AF607*Source!AV607)*Source!I607, 2), 2)</f>
        <v>14987.42</v>
      </c>
      <c r="R756">
        <f>Source!X607</f>
        <v>14987.42</v>
      </c>
      <c r="S756">
        <f>ROUND((Source!CA607/100)*ROUND((Source!AF607*Source!AV607)*Source!I607, 2), 2)</f>
        <v>2141.06</v>
      </c>
      <c r="T756">
        <f>Source!Y607</f>
        <v>2141.06</v>
      </c>
      <c r="U756">
        <f>ROUND((175/100)*ROUND((Source!AE607*Source!AV607)*Source!I607, 2), 2)</f>
        <v>0</v>
      </c>
      <c r="V756">
        <f>ROUND((108/100)*ROUND(Source!CS607*Source!I607, 2), 2)</f>
        <v>0</v>
      </c>
    </row>
    <row r="757" spans="1:22" x14ac:dyDescent="0.2">
      <c r="D757" s="23" t="str">
        <f>"Объем: "&amp;Source!I607&amp;"=1*"&amp;"10"</f>
        <v>Объем: 10=1*10</v>
      </c>
    </row>
    <row r="758" spans="1:22" ht="14.25" x14ac:dyDescent="0.2">
      <c r="A758" s="19"/>
      <c r="B758" s="19"/>
      <c r="C758" s="19"/>
      <c r="D758" s="19" t="s">
        <v>500</v>
      </c>
      <c r="E758" s="20"/>
      <c r="F758" s="9"/>
      <c r="G758" s="22">
        <f>Source!AO607</f>
        <v>1070.53</v>
      </c>
      <c r="H758" s="21" t="str">
        <f>Source!DG607</f>
        <v>)*2</v>
      </c>
      <c r="I758" s="9">
        <f>Source!AV607</f>
        <v>1</v>
      </c>
      <c r="J758" s="9">
        <f>IF(Source!BA607&lt;&gt; 0, Source!BA607, 1)</f>
        <v>1</v>
      </c>
      <c r="K758" s="22">
        <f>Source!S607</f>
        <v>21410.6</v>
      </c>
      <c r="L758" s="22"/>
    </row>
    <row r="759" spans="1:22" ht="14.25" x14ac:dyDescent="0.2">
      <c r="A759" s="19"/>
      <c r="B759" s="19"/>
      <c r="C759" s="19"/>
      <c r="D759" s="19" t="s">
        <v>501</v>
      </c>
      <c r="E759" s="20" t="s">
        <v>502</v>
      </c>
      <c r="F759" s="9">
        <f>Source!AT607</f>
        <v>70</v>
      </c>
      <c r="G759" s="22"/>
      <c r="H759" s="21"/>
      <c r="I759" s="9"/>
      <c r="J759" s="9"/>
      <c r="K759" s="22">
        <f>SUM(R756:R758)</f>
        <v>14987.42</v>
      </c>
      <c r="L759" s="22"/>
    </row>
    <row r="760" spans="1:22" ht="14.25" x14ac:dyDescent="0.2">
      <c r="A760" s="19"/>
      <c r="B760" s="19"/>
      <c r="C760" s="19"/>
      <c r="D760" s="19" t="s">
        <v>503</v>
      </c>
      <c r="E760" s="20" t="s">
        <v>502</v>
      </c>
      <c r="F760" s="9">
        <f>Source!AU607</f>
        <v>10</v>
      </c>
      <c r="G760" s="22"/>
      <c r="H760" s="21"/>
      <c r="I760" s="9"/>
      <c r="J760" s="9"/>
      <c r="K760" s="22">
        <f>SUM(T756:T759)</f>
        <v>2141.06</v>
      </c>
      <c r="L760" s="22"/>
    </row>
    <row r="761" spans="1:22" ht="14.25" x14ac:dyDescent="0.2">
      <c r="A761" s="19"/>
      <c r="B761" s="19"/>
      <c r="C761" s="19"/>
      <c r="D761" s="19" t="s">
        <v>504</v>
      </c>
      <c r="E761" s="20" t="s">
        <v>505</v>
      </c>
      <c r="F761" s="9">
        <f>Source!AQ607</f>
        <v>1.76</v>
      </c>
      <c r="G761" s="22"/>
      <c r="H761" s="21" t="str">
        <f>Source!DI607</f>
        <v>)*2</v>
      </c>
      <c r="I761" s="9">
        <f>Source!AV607</f>
        <v>1</v>
      </c>
      <c r="J761" s="9"/>
      <c r="K761" s="22"/>
      <c r="L761" s="22">
        <f>Source!U607</f>
        <v>35.200000000000003</v>
      </c>
    </row>
    <row r="762" spans="1:22" ht="15" x14ac:dyDescent="0.25">
      <c r="A762" s="25"/>
      <c r="B762" s="25"/>
      <c r="C762" s="25"/>
      <c r="D762" s="25"/>
      <c r="E762" s="25"/>
      <c r="F762" s="25"/>
      <c r="G762" s="25"/>
      <c r="H762" s="25"/>
      <c r="I762" s="25"/>
      <c r="J762" s="52">
        <f>K758+K759+K760</f>
        <v>38539.079999999994</v>
      </c>
      <c r="K762" s="52"/>
      <c r="L762" s="26">
        <f>IF(Source!I607&lt;&gt;0, ROUND(J762/Source!I607, 2), 0)</f>
        <v>3853.91</v>
      </c>
      <c r="P762" s="24">
        <f>J762</f>
        <v>38539.079999999994</v>
      </c>
    </row>
    <row r="763" spans="1:22" ht="42.75" x14ac:dyDescent="0.2">
      <c r="A763" s="19">
        <v>74</v>
      </c>
      <c r="B763" s="19">
        <v>74</v>
      </c>
      <c r="C763" s="19" t="str">
        <f>Source!F609</f>
        <v>1.18-2403-19-5/1</v>
      </c>
      <c r="D763" s="19" t="str">
        <f>Source!G609</f>
        <v>Техническое обслуживание внутренних настенных блоков сплит систем мощностью до 7 кВт - полугодовое</v>
      </c>
      <c r="E763" s="20" t="str">
        <f>Source!H609</f>
        <v>1 блок</v>
      </c>
      <c r="F763" s="9">
        <f>Source!I609</f>
        <v>10</v>
      </c>
      <c r="G763" s="22"/>
      <c r="H763" s="21"/>
      <c r="I763" s="9"/>
      <c r="J763" s="9"/>
      <c r="K763" s="22"/>
      <c r="L763" s="22"/>
      <c r="Q763">
        <f>ROUND((Source!BZ609/100)*ROUND((Source!AF609*Source!AV609)*Source!I609, 2), 2)</f>
        <v>6595.96</v>
      </c>
      <c r="R763">
        <f>Source!X609</f>
        <v>6595.96</v>
      </c>
      <c r="S763">
        <f>ROUND((Source!CA609/100)*ROUND((Source!AF609*Source!AV609)*Source!I609, 2), 2)</f>
        <v>942.28</v>
      </c>
      <c r="T763">
        <f>Source!Y609</f>
        <v>942.28</v>
      </c>
      <c r="U763">
        <f>ROUND((175/100)*ROUND((Source!AE609*Source!AV609)*Source!I609, 2), 2)</f>
        <v>0.35</v>
      </c>
      <c r="V763">
        <f>ROUND((108/100)*ROUND(Source!CS609*Source!I609, 2), 2)</f>
        <v>0.22</v>
      </c>
    </row>
    <row r="764" spans="1:22" x14ac:dyDescent="0.2">
      <c r="D764" s="23" t="str">
        <f>"Объем: "&amp;Source!I609&amp;"=1*"&amp;"10"</f>
        <v>Объем: 10=1*10</v>
      </c>
    </row>
    <row r="765" spans="1:22" ht="14.25" x14ac:dyDescent="0.2">
      <c r="A765" s="19"/>
      <c r="B765" s="19"/>
      <c r="C765" s="19"/>
      <c r="D765" s="19" t="s">
        <v>500</v>
      </c>
      <c r="E765" s="20"/>
      <c r="F765" s="9"/>
      <c r="G765" s="22">
        <f>Source!AO609</f>
        <v>942.28</v>
      </c>
      <c r="H765" s="21" t="str">
        <f>Source!DG609</f>
        <v/>
      </c>
      <c r="I765" s="9">
        <f>Source!AV609</f>
        <v>1</v>
      </c>
      <c r="J765" s="9">
        <f>IF(Source!BA609&lt;&gt; 0, Source!BA609, 1)</f>
        <v>1</v>
      </c>
      <c r="K765" s="22">
        <f>Source!S609</f>
        <v>9422.7999999999993</v>
      </c>
      <c r="L765" s="22"/>
    </row>
    <row r="766" spans="1:22" ht="14.25" x14ac:dyDescent="0.2">
      <c r="A766" s="19"/>
      <c r="B766" s="19"/>
      <c r="C766" s="19"/>
      <c r="D766" s="19" t="s">
        <v>506</v>
      </c>
      <c r="E766" s="20"/>
      <c r="F766" s="9"/>
      <c r="G766" s="22">
        <f>Source!AM609</f>
        <v>1.79</v>
      </c>
      <c r="H766" s="21" t="str">
        <f>Source!DE609</f>
        <v/>
      </c>
      <c r="I766" s="9">
        <f>Source!AV609</f>
        <v>1</v>
      </c>
      <c r="J766" s="9">
        <f>IF(Source!BB609&lt;&gt; 0, Source!BB609, 1)</f>
        <v>1</v>
      </c>
      <c r="K766" s="22">
        <f>Source!Q609</f>
        <v>17.899999999999999</v>
      </c>
      <c r="L766" s="22"/>
    </row>
    <row r="767" spans="1:22" ht="14.25" x14ac:dyDescent="0.2">
      <c r="A767" s="19"/>
      <c r="B767" s="19"/>
      <c r="C767" s="19"/>
      <c r="D767" s="19" t="s">
        <v>507</v>
      </c>
      <c r="E767" s="20"/>
      <c r="F767" s="9"/>
      <c r="G767" s="22">
        <f>Source!AN609</f>
        <v>0.02</v>
      </c>
      <c r="H767" s="21" t="str">
        <f>Source!DF609</f>
        <v/>
      </c>
      <c r="I767" s="9">
        <f>Source!AV609</f>
        <v>1</v>
      </c>
      <c r="J767" s="9">
        <f>IF(Source!BS609&lt;&gt; 0, Source!BS609, 1)</f>
        <v>1</v>
      </c>
      <c r="K767" s="27">
        <f>Source!R609</f>
        <v>0.2</v>
      </c>
      <c r="L767" s="22"/>
    </row>
    <row r="768" spans="1:22" ht="14.25" x14ac:dyDescent="0.2">
      <c r="A768" s="19"/>
      <c r="B768" s="19"/>
      <c r="C768" s="19"/>
      <c r="D768" s="19" t="s">
        <v>508</v>
      </c>
      <c r="E768" s="20"/>
      <c r="F768" s="9"/>
      <c r="G768" s="22">
        <f>Source!AL609</f>
        <v>0.74</v>
      </c>
      <c r="H768" s="21" t="str">
        <f>Source!DD609</f>
        <v/>
      </c>
      <c r="I768" s="9">
        <f>Source!AW609</f>
        <v>1</v>
      </c>
      <c r="J768" s="9">
        <f>IF(Source!BC609&lt;&gt; 0, Source!BC609, 1)</f>
        <v>1</v>
      </c>
      <c r="K768" s="22">
        <f>Source!P609</f>
        <v>7.4</v>
      </c>
      <c r="L768" s="22"/>
    </row>
    <row r="769" spans="1:22" ht="14.25" x14ac:dyDescent="0.2">
      <c r="A769" s="19"/>
      <c r="B769" s="19"/>
      <c r="C769" s="19"/>
      <c r="D769" s="19" t="s">
        <v>501</v>
      </c>
      <c r="E769" s="20" t="s">
        <v>502</v>
      </c>
      <c r="F769" s="9">
        <f>Source!AT609</f>
        <v>70</v>
      </c>
      <c r="G769" s="22"/>
      <c r="H769" s="21"/>
      <c r="I769" s="9"/>
      <c r="J769" s="9"/>
      <c r="K769" s="22">
        <f>SUM(R763:R768)</f>
        <v>6595.96</v>
      </c>
      <c r="L769" s="22"/>
    </row>
    <row r="770" spans="1:22" ht="14.25" x14ac:dyDescent="0.2">
      <c r="A770" s="19"/>
      <c r="B770" s="19"/>
      <c r="C770" s="19"/>
      <c r="D770" s="19" t="s">
        <v>503</v>
      </c>
      <c r="E770" s="20" t="s">
        <v>502</v>
      </c>
      <c r="F770" s="9">
        <f>Source!AU609</f>
        <v>10</v>
      </c>
      <c r="G770" s="22"/>
      <c r="H770" s="21"/>
      <c r="I770" s="9"/>
      <c r="J770" s="9"/>
      <c r="K770" s="22">
        <f>SUM(T763:T769)</f>
        <v>942.28</v>
      </c>
      <c r="L770" s="22"/>
    </row>
    <row r="771" spans="1:22" ht="14.25" x14ac:dyDescent="0.2">
      <c r="A771" s="19"/>
      <c r="B771" s="19"/>
      <c r="C771" s="19"/>
      <c r="D771" s="19" t="s">
        <v>509</v>
      </c>
      <c r="E771" s="20" t="s">
        <v>502</v>
      </c>
      <c r="F771" s="9">
        <f>108</f>
        <v>108</v>
      </c>
      <c r="G771" s="22"/>
      <c r="H771" s="21"/>
      <c r="I771" s="9"/>
      <c r="J771" s="9"/>
      <c r="K771" s="22">
        <f>SUM(V763:V770)</f>
        <v>0.22</v>
      </c>
      <c r="L771" s="22"/>
    </row>
    <row r="772" spans="1:22" ht="14.25" x14ac:dyDescent="0.2">
      <c r="A772" s="19"/>
      <c r="B772" s="19"/>
      <c r="C772" s="19"/>
      <c r="D772" s="19" t="s">
        <v>504</v>
      </c>
      <c r="E772" s="20" t="s">
        <v>505</v>
      </c>
      <c r="F772" s="9">
        <f>Source!AQ609</f>
        <v>1.42</v>
      </c>
      <c r="G772" s="22"/>
      <c r="H772" s="21" t="str">
        <f>Source!DI609</f>
        <v/>
      </c>
      <c r="I772" s="9">
        <f>Source!AV609</f>
        <v>1</v>
      </c>
      <c r="J772" s="9"/>
      <c r="K772" s="22"/>
      <c r="L772" s="22">
        <f>Source!U609</f>
        <v>14.2</v>
      </c>
    </row>
    <row r="773" spans="1:22" ht="15" x14ac:dyDescent="0.25">
      <c r="A773" s="25"/>
      <c r="B773" s="25"/>
      <c r="C773" s="25"/>
      <c r="D773" s="25"/>
      <c r="E773" s="25"/>
      <c r="F773" s="25"/>
      <c r="G773" s="25"/>
      <c r="H773" s="25"/>
      <c r="I773" s="25"/>
      <c r="J773" s="52">
        <f>K765+K766+K768+K769+K770+K771</f>
        <v>16986.559999999998</v>
      </c>
      <c r="K773" s="52"/>
      <c r="L773" s="26">
        <f>IF(Source!I609&lt;&gt;0, ROUND(J773/Source!I609, 2), 0)</f>
        <v>1698.66</v>
      </c>
      <c r="P773" s="24">
        <f>J773</f>
        <v>16986.559999999998</v>
      </c>
    </row>
    <row r="774" spans="1:22" ht="42.75" x14ac:dyDescent="0.2">
      <c r="A774" s="19">
        <v>75</v>
      </c>
      <c r="B774" s="19">
        <v>75</v>
      </c>
      <c r="C774" s="19" t="str">
        <f>Source!F611</f>
        <v>1.18-2403-18-3/1</v>
      </c>
      <c r="D774" s="19" t="str">
        <f>Source!G611</f>
        <v>Техническое обслуживание наружных блоков сплит систем мощностью до 10 кВт - полугодовое</v>
      </c>
      <c r="E774" s="20" t="str">
        <f>Source!H611</f>
        <v>1 блок</v>
      </c>
      <c r="F774" s="9">
        <f>Source!I611</f>
        <v>10</v>
      </c>
      <c r="G774" s="22"/>
      <c r="H774" s="21"/>
      <c r="I774" s="9"/>
      <c r="J774" s="9"/>
      <c r="K774" s="22"/>
      <c r="L774" s="22"/>
      <c r="Q774">
        <f>ROUND((Source!BZ611/100)*ROUND((Source!AF611*Source!AV611)*Source!I611, 2), 2)</f>
        <v>11519.69</v>
      </c>
      <c r="R774">
        <f>Source!X611</f>
        <v>11519.69</v>
      </c>
      <c r="S774">
        <f>ROUND((Source!CA611/100)*ROUND((Source!AF611*Source!AV611)*Source!I611, 2), 2)</f>
        <v>1645.67</v>
      </c>
      <c r="T774">
        <f>Source!Y611</f>
        <v>1645.67</v>
      </c>
      <c r="U774">
        <f>ROUND((175/100)*ROUND((Source!AE611*Source!AV611)*Source!I611, 2), 2)</f>
        <v>0.88</v>
      </c>
      <c r="V774">
        <f>ROUND((108/100)*ROUND(Source!CS611*Source!I611, 2), 2)</f>
        <v>0.54</v>
      </c>
    </row>
    <row r="775" spans="1:22" x14ac:dyDescent="0.2">
      <c r="D775" s="23" t="str">
        <f>"Объем: "&amp;Source!I611&amp;"=1*"&amp;"10"</f>
        <v>Объем: 10=1*10</v>
      </c>
    </row>
    <row r="776" spans="1:22" ht="14.25" x14ac:dyDescent="0.2">
      <c r="A776" s="19"/>
      <c r="B776" s="19"/>
      <c r="C776" s="19"/>
      <c r="D776" s="19" t="s">
        <v>500</v>
      </c>
      <c r="E776" s="20"/>
      <c r="F776" s="9"/>
      <c r="G776" s="22">
        <f>Source!AO611</f>
        <v>1645.67</v>
      </c>
      <c r="H776" s="21" t="str">
        <f>Source!DG611</f>
        <v/>
      </c>
      <c r="I776" s="9">
        <f>Source!AV611</f>
        <v>1</v>
      </c>
      <c r="J776" s="9">
        <f>IF(Source!BA611&lt;&gt; 0, Source!BA611, 1)</f>
        <v>1</v>
      </c>
      <c r="K776" s="22">
        <f>Source!S611</f>
        <v>16456.7</v>
      </c>
      <c r="L776" s="22"/>
    </row>
    <row r="777" spans="1:22" ht="14.25" x14ac:dyDescent="0.2">
      <c r="A777" s="19"/>
      <c r="B777" s="19"/>
      <c r="C777" s="19"/>
      <c r="D777" s="19" t="s">
        <v>506</v>
      </c>
      <c r="E777" s="20"/>
      <c r="F777" s="9"/>
      <c r="G777" s="22">
        <f>Source!AM611</f>
        <v>3.49</v>
      </c>
      <c r="H777" s="21" t="str">
        <f>Source!DE611</f>
        <v/>
      </c>
      <c r="I777" s="9">
        <f>Source!AV611</f>
        <v>1</v>
      </c>
      <c r="J777" s="9">
        <f>IF(Source!BB611&lt;&gt; 0, Source!BB611, 1)</f>
        <v>1</v>
      </c>
      <c r="K777" s="22">
        <f>Source!Q611</f>
        <v>34.9</v>
      </c>
      <c r="L777" s="22"/>
    </row>
    <row r="778" spans="1:22" ht="14.25" x14ac:dyDescent="0.2">
      <c r="A778" s="19"/>
      <c r="B778" s="19"/>
      <c r="C778" s="19"/>
      <c r="D778" s="19" t="s">
        <v>507</v>
      </c>
      <c r="E778" s="20"/>
      <c r="F778" s="9"/>
      <c r="G778" s="22">
        <f>Source!AN611</f>
        <v>0.05</v>
      </c>
      <c r="H778" s="21" t="str">
        <f>Source!DF611</f>
        <v/>
      </c>
      <c r="I778" s="9">
        <f>Source!AV611</f>
        <v>1</v>
      </c>
      <c r="J778" s="9">
        <f>IF(Source!BS611&lt;&gt; 0, Source!BS611, 1)</f>
        <v>1</v>
      </c>
      <c r="K778" s="27">
        <f>Source!R611</f>
        <v>0.5</v>
      </c>
      <c r="L778" s="22"/>
    </row>
    <row r="779" spans="1:22" ht="14.25" x14ac:dyDescent="0.2">
      <c r="A779" s="19"/>
      <c r="B779" s="19"/>
      <c r="C779" s="19"/>
      <c r="D779" s="19" t="s">
        <v>508</v>
      </c>
      <c r="E779" s="20"/>
      <c r="F779" s="9"/>
      <c r="G779" s="22">
        <f>Source!AL611</f>
        <v>0.94</v>
      </c>
      <c r="H779" s="21" t="str">
        <f>Source!DD611</f>
        <v/>
      </c>
      <c r="I779" s="9">
        <f>Source!AW611</f>
        <v>1</v>
      </c>
      <c r="J779" s="9">
        <f>IF(Source!BC611&lt;&gt; 0, Source!BC611, 1)</f>
        <v>1</v>
      </c>
      <c r="K779" s="22">
        <f>Source!P611</f>
        <v>9.4</v>
      </c>
      <c r="L779" s="22"/>
    </row>
    <row r="780" spans="1:22" ht="14.25" x14ac:dyDescent="0.2">
      <c r="A780" s="19"/>
      <c r="B780" s="19"/>
      <c r="C780" s="19"/>
      <c r="D780" s="19" t="s">
        <v>501</v>
      </c>
      <c r="E780" s="20" t="s">
        <v>502</v>
      </c>
      <c r="F780" s="9">
        <f>Source!AT611</f>
        <v>70</v>
      </c>
      <c r="G780" s="22"/>
      <c r="H780" s="21"/>
      <c r="I780" s="9"/>
      <c r="J780" s="9"/>
      <c r="K780" s="22">
        <f>SUM(R774:R779)</f>
        <v>11519.69</v>
      </c>
      <c r="L780" s="22"/>
    </row>
    <row r="781" spans="1:22" ht="14.25" x14ac:dyDescent="0.2">
      <c r="A781" s="19"/>
      <c r="B781" s="19"/>
      <c r="C781" s="19"/>
      <c r="D781" s="19" t="s">
        <v>503</v>
      </c>
      <c r="E781" s="20" t="s">
        <v>502</v>
      </c>
      <c r="F781" s="9">
        <f>Source!AU611</f>
        <v>10</v>
      </c>
      <c r="G781" s="22"/>
      <c r="H781" s="21"/>
      <c r="I781" s="9"/>
      <c r="J781" s="9"/>
      <c r="K781" s="22">
        <f>SUM(T774:T780)</f>
        <v>1645.67</v>
      </c>
      <c r="L781" s="22"/>
    </row>
    <row r="782" spans="1:22" ht="14.25" x14ac:dyDescent="0.2">
      <c r="A782" s="19"/>
      <c r="B782" s="19"/>
      <c r="C782" s="19"/>
      <c r="D782" s="19" t="s">
        <v>509</v>
      </c>
      <c r="E782" s="20" t="s">
        <v>502</v>
      </c>
      <c r="F782" s="9">
        <f>108</f>
        <v>108</v>
      </c>
      <c r="G782" s="22"/>
      <c r="H782" s="21"/>
      <c r="I782" s="9"/>
      <c r="J782" s="9"/>
      <c r="K782" s="22">
        <f>SUM(V774:V781)</f>
        <v>0.54</v>
      </c>
      <c r="L782" s="22"/>
    </row>
    <row r="783" spans="1:22" ht="14.25" x14ac:dyDescent="0.2">
      <c r="A783" s="19"/>
      <c r="B783" s="19"/>
      <c r="C783" s="19"/>
      <c r="D783" s="19" t="s">
        <v>504</v>
      </c>
      <c r="E783" s="20" t="s">
        <v>505</v>
      </c>
      <c r="F783" s="9">
        <f>Source!AQ611</f>
        <v>2.48</v>
      </c>
      <c r="G783" s="22"/>
      <c r="H783" s="21" t="str">
        <f>Source!DI611</f>
        <v/>
      </c>
      <c r="I783" s="9">
        <f>Source!AV611</f>
        <v>1</v>
      </c>
      <c r="J783" s="9"/>
      <c r="K783" s="22"/>
      <c r="L783" s="22">
        <f>Source!U611</f>
        <v>24.8</v>
      </c>
    </row>
    <row r="784" spans="1:22" ht="15" x14ac:dyDescent="0.25">
      <c r="A784" s="25"/>
      <c r="B784" s="25"/>
      <c r="C784" s="25"/>
      <c r="D784" s="25"/>
      <c r="E784" s="25"/>
      <c r="F784" s="25"/>
      <c r="G784" s="25"/>
      <c r="H784" s="25"/>
      <c r="I784" s="25"/>
      <c r="J784" s="52">
        <f>K776+K777+K779+K780+K781+K782</f>
        <v>29666.9</v>
      </c>
      <c r="K784" s="52"/>
      <c r="L784" s="26">
        <f>IF(Source!I611&lt;&gt;0, ROUND(J784/Source!I611, 2), 0)</f>
        <v>2966.69</v>
      </c>
      <c r="P784" s="24">
        <f>J784</f>
        <v>29666.9</v>
      </c>
    </row>
    <row r="786" spans="1:22" ht="15" x14ac:dyDescent="0.25">
      <c r="A786" s="54" t="str">
        <f>CONCATENATE("Итого по подразделу: ",IF(Source!G616&lt;&gt;"Новый подраздел", Source!G616, ""))</f>
        <v>Итого по подразделу: Вентиляция и кондиционирование</v>
      </c>
      <c r="B786" s="54"/>
      <c r="C786" s="54"/>
      <c r="D786" s="54"/>
      <c r="E786" s="54"/>
      <c r="F786" s="54"/>
      <c r="G786" s="54"/>
      <c r="H786" s="54"/>
      <c r="I786" s="54"/>
      <c r="J786" s="53">
        <f>SUM(P755:P785)</f>
        <v>85192.54</v>
      </c>
      <c r="K786" s="73"/>
      <c r="L786" s="28"/>
    </row>
    <row r="789" spans="1:22" ht="16.5" x14ac:dyDescent="0.25">
      <c r="A789" s="51" t="str">
        <f>CONCATENATE("Подраздел: ",IF(Source!G646&lt;&gt;"Новый подраздел", Source!G646, ""))</f>
        <v>Подраздел: Система электроснабжения</v>
      </c>
      <c r="B789" s="51"/>
      <c r="C789" s="51"/>
      <c r="D789" s="51"/>
      <c r="E789" s="51"/>
      <c r="F789" s="51"/>
      <c r="G789" s="51"/>
      <c r="H789" s="51"/>
      <c r="I789" s="51"/>
      <c r="J789" s="51"/>
      <c r="K789" s="51"/>
      <c r="L789" s="51"/>
    </row>
    <row r="791" spans="1:22" ht="15" x14ac:dyDescent="0.25">
      <c r="C791" s="55" t="str">
        <f>Source!G650</f>
        <v>Щитовое оборудование:</v>
      </c>
      <c r="D791" s="55"/>
      <c r="E791" s="55"/>
      <c r="F791" s="55"/>
      <c r="G791" s="55"/>
      <c r="H791" s="55"/>
      <c r="I791" s="55"/>
      <c r="J791" s="55"/>
      <c r="K791" s="55"/>
    </row>
    <row r="792" spans="1:22" ht="71.25" x14ac:dyDescent="0.2">
      <c r="A792" s="19">
        <v>76</v>
      </c>
      <c r="B792" s="19">
        <v>76</v>
      </c>
      <c r="C792" s="19" t="str">
        <f>Source!F651</f>
        <v>1.21-2203-2-5/1</v>
      </c>
      <c r="D792" s="19" t="str">
        <f>Source!G651</f>
        <v>Техническое обслуживание силового распределительного пункта с установочными автоматами, число групп 12 /( Распределительный щит навесной, 36 модулей, IP54 )</v>
      </c>
      <c r="E792" s="20" t="str">
        <f>Source!H651</f>
        <v>шт.</v>
      </c>
      <c r="F792" s="9">
        <f>Source!I651</f>
        <v>10</v>
      </c>
      <c r="G792" s="22"/>
      <c r="H792" s="21"/>
      <c r="I792" s="9"/>
      <c r="J792" s="9"/>
      <c r="K792" s="22"/>
      <c r="L792" s="22"/>
      <c r="Q792">
        <f>ROUND((Source!BZ651/100)*ROUND((Source!AF651*Source!AV651)*Source!I651, 2), 2)</f>
        <v>103738.32</v>
      </c>
      <c r="R792">
        <f>Source!X651</f>
        <v>103738.32</v>
      </c>
      <c r="S792">
        <f>ROUND((Source!CA651/100)*ROUND((Source!AF651*Source!AV651)*Source!I651, 2), 2)</f>
        <v>14819.76</v>
      </c>
      <c r="T792">
        <f>Source!Y651</f>
        <v>14819.76</v>
      </c>
      <c r="U792">
        <f>ROUND((175/100)*ROUND((Source!AE651*Source!AV651)*Source!I651, 2), 2)</f>
        <v>0</v>
      </c>
      <c r="V792">
        <f>ROUND((108/100)*ROUND(Source!CS651*Source!I651, 2), 2)</f>
        <v>0</v>
      </c>
    </row>
    <row r="793" spans="1:22" x14ac:dyDescent="0.2">
      <c r="D793" s="23" t="str">
        <f>"Объем: "&amp;Source!I651&amp;"=1*"&amp;"10"</f>
        <v>Объем: 10=1*10</v>
      </c>
    </row>
    <row r="794" spans="1:22" ht="14.25" x14ac:dyDescent="0.2">
      <c r="A794" s="19"/>
      <c r="B794" s="19"/>
      <c r="C794" s="19"/>
      <c r="D794" s="19" t="s">
        <v>500</v>
      </c>
      <c r="E794" s="20"/>
      <c r="F794" s="9"/>
      <c r="G794" s="22">
        <f>Source!AO651</f>
        <v>14819.76</v>
      </c>
      <c r="H794" s="21" t="str">
        <f>Source!DG651</f>
        <v/>
      </c>
      <c r="I794" s="9">
        <f>Source!AV651</f>
        <v>1</v>
      </c>
      <c r="J794" s="9">
        <f>IF(Source!BA651&lt;&gt; 0, Source!BA651, 1)</f>
        <v>1</v>
      </c>
      <c r="K794" s="22">
        <f>Source!S651</f>
        <v>148197.6</v>
      </c>
      <c r="L794" s="22"/>
    </row>
    <row r="795" spans="1:22" ht="14.25" x14ac:dyDescent="0.2">
      <c r="A795" s="19"/>
      <c r="B795" s="19"/>
      <c r="C795" s="19"/>
      <c r="D795" s="19" t="s">
        <v>508</v>
      </c>
      <c r="E795" s="20"/>
      <c r="F795" s="9"/>
      <c r="G795" s="22">
        <f>Source!AL651</f>
        <v>205.53</v>
      </c>
      <c r="H795" s="21" t="str">
        <f>Source!DD651</f>
        <v/>
      </c>
      <c r="I795" s="9">
        <f>Source!AW651</f>
        <v>1</v>
      </c>
      <c r="J795" s="9">
        <f>IF(Source!BC651&lt;&gt; 0, Source!BC651, 1)</f>
        <v>1</v>
      </c>
      <c r="K795" s="22">
        <f>Source!P651</f>
        <v>2055.3000000000002</v>
      </c>
      <c r="L795" s="22"/>
    </row>
    <row r="796" spans="1:22" ht="14.25" x14ac:dyDescent="0.2">
      <c r="A796" s="19"/>
      <c r="B796" s="19"/>
      <c r="C796" s="19"/>
      <c r="D796" s="19" t="s">
        <v>501</v>
      </c>
      <c r="E796" s="20" t="s">
        <v>502</v>
      </c>
      <c r="F796" s="9">
        <f>Source!AT651</f>
        <v>70</v>
      </c>
      <c r="G796" s="22"/>
      <c r="H796" s="21"/>
      <c r="I796" s="9"/>
      <c r="J796" s="9"/>
      <c r="K796" s="22">
        <f>SUM(R792:R795)</f>
        <v>103738.32</v>
      </c>
      <c r="L796" s="22"/>
    </row>
    <row r="797" spans="1:22" ht="14.25" x14ac:dyDescent="0.2">
      <c r="A797" s="19"/>
      <c r="B797" s="19"/>
      <c r="C797" s="19"/>
      <c r="D797" s="19" t="s">
        <v>503</v>
      </c>
      <c r="E797" s="20" t="s">
        <v>502</v>
      </c>
      <c r="F797" s="9">
        <f>Source!AU651</f>
        <v>10</v>
      </c>
      <c r="G797" s="22"/>
      <c r="H797" s="21"/>
      <c r="I797" s="9"/>
      <c r="J797" s="9"/>
      <c r="K797" s="22">
        <f>SUM(T792:T796)</f>
        <v>14819.76</v>
      </c>
      <c r="L797" s="22"/>
    </row>
    <row r="798" spans="1:22" ht="14.25" x14ac:dyDescent="0.2">
      <c r="A798" s="19"/>
      <c r="B798" s="19"/>
      <c r="C798" s="19"/>
      <c r="D798" s="19" t="s">
        <v>504</v>
      </c>
      <c r="E798" s="20" t="s">
        <v>505</v>
      </c>
      <c r="F798" s="9">
        <f>Source!AQ651</f>
        <v>24</v>
      </c>
      <c r="G798" s="22"/>
      <c r="H798" s="21" t="str">
        <f>Source!DI651</f>
        <v/>
      </c>
      <c r="I798" s="9">
        <f>Source!AV651</f>
        <v>1</v>
      </c>
      <c r="J798" s="9"/>
      <c r="K798" s="22"/>
      <c r="L798" s="22">
        <f>Source!U651</f>
        <v>240</v>
      </c>
    </row>
    <row r="799" spans="1:22" ht="15" x14ac:dyDescent="0.25">
      <c r="A799" s="25"/>
      <c r="B799" s="25"/>
      <c r="C799" s="25"/>
      <c r="D799" s="25"/>
      <c r="E799" s="25"/>
      <c r="F799" s="25"/>
      <c r="G799" s="25"/>
      <c r="H799" s="25"/>
      <c r="I799" s="25"/>
      <c r="J799" s="52">
        <f>K794+K795+K796+K797</f>
        <v>268810.98</v>
      </c>
      <c r="K799" s="52"/>
      <c r="L799" s="26">
        <f>IF(Source!I651&lt;&gt;0, ROUND(J799/Source!I651, 2), 0)</f>
        <v>26881.1</v>
      </c>
      <c r="P799" s="24">
        <f>J799</f>
        <v>268810.98</v>
      </c>
    </row>
    <row r="800" spans="1:22" ht="57" x14ac:dyDescent="0.2">
      <c r="A800" s="19">
        <v>77</v>
      </c>
      <c r="B800" s="19">
        <v>77</v>
      </c>
      <c r="C800" s="19" t="str">
        <f>Source!F654</f>
        <v>1.21-2303-3-1/1</v>
      </c>
      <c r="D800" s="19" t="str">
        <f>Source!G654</f>
        <v>Техническое обслуживание выключателей автоматических трехполюсных установочных, номинальный ток до 200 А /  3р, Iн= 25А</v>
      </c>
      <c r="E800" s="20" t="str">
        <f>Source!H654</f>
        <v>шт.</v>
      </c>
      <c r="F800" s="9">
        <f>Source!I654</f>
        <v>10</v>
      </c>
      <c r="G800" s="22"/>
      <c r="H800" s="21"/>
      <c r="I800" s="9"/>
      <c r="J800" s="9"/>
      <c r="K800" s="22"/>
      <c r="L800" s="22"/>
      <c r="Q800">
        <f>ROUND((Source!BZ654/100)*ROUND((Source!AF654*Source!AV654)*Source!I654, 2), 2)</f>
        <v>6483.61</v>
      </c>
      <c r="R800">
        <f>Source!X654</f>
        <v>6483.61</v>
      </c>
      <c r="S800">
        <f>ROUND((Source!CA654/100)*ROUND((Source!AF654*Source!AV654)*Source!I654, 2), 2)</f>
        <v>926.23</v>
      </c>
      <c r="T800">
        <f>Source!Y654</f>
        <v>926.23</v>
      </c>
      <c r="U800">
        <f>ROUND((175/100)*ROUND((Source!AE654*Source!AV654)*Source!I654, 2), 2)</f>
        <v>0</v>
      </c>
      <c r="V800">
        <f>ROUND((108/100)*ROUND(Source!CS654*Source!I654, 2), 2)</f>
        <v>0</v>
      </c>
    </row>
    <row r="801" spans="1:22" x14ac:dyDescent="0.2">
      <c r="D801" s="23" t="str">
        <f>"Объем: "&amp;Source!I654&amp;"=1*"&amp;"10"</f>
        <v>Объем: 10=1*10</v>
      </c>
    </row>
    <row r="802" spans="1:22" ht="14.25" x14ac:dyDescent="0.2">
      <c r="A802" s="19"/>
      <c r="B802" s="19"/>
      <c r="C802" s="19"/>
      <c r="D802" s="19" t="s">
        <v>500</v>
      </c>
      <c r="E802" s="20"/>
      <c r="F802" s="9"/>
      <c r="G802" s="22">
        <f>Source!AO654</f>
        <v>926.23</v>
      </c>
      <c r="H802" s="21" t="str">
        <f>Source!DG654</f>
        <v/>
      </c>
      <c r="I802" s="9">
        <f>Source!AV654</f>
        <v>1</v>
      </c>
      <c r="J802" s="9">
        <f>IF(Source!BA654&lt;&gt; 0, Source!BA654, 1)</f>
        <v>1</v>
      </c>
      <c r="K802" s="22">
        <f>Source!S654</f>
        <v>9262.2999999999993</v>
      </c>
      <c r="L802" s="22"/>
    </row>
    <row r="803" spans="1:22" ht="14.25" x14ac:dyDescent="0.2">
      <c r="A803" s="19"/>
      <c r="B803" s="19"/>
      <c r="C803" s="19"/>
      <c r="D803" s="19" t="s">
        <v>508</v>
      </c>
      <c r="E803" s="20"/>
      <c r="F803" s="9"/>
      <c r="G803" s="22">
        <f>Source!AL654</f>
        <v>12.39</v>
      </c>
      <c r="H803" s="21" t="str">
        <f>Source!DD654</f>
        <v/>
      </c>
      <c r="I803" s="9">
        <f>Source!AW654</f>
        <v>1</v>
      </c>
      <c r="J803" s="9">
        <f>IF(Source!BC654&lt;&gt; 0, Source!BC654, 1)</f>
        <v>1</v>
      </c>
      <c r="K803" s="22">
        <f>Source!P654</f>
        <v>123.9</v>
      </c>
      <c r="L803" s="22"/>
    </row>
    <row r="804" spans="1:22" ht="14.25" x14ac:dyDescent="0.2">
      <c r="A804" s="19"/>
      <c r="B804" s="19"/>
      <c r="C804" s="19"/>
      <c r="D804" s="19" t="s">
        <v>501</v>
      </c>
      <c r="E804" s="20" t="s">
        <v>502</v>
      </c>
      <c r="F804" s="9">
        <f>Source!AT654</f>
        <v>70</v>
      </c>
      <c r="G804" s="22"/>
      <c r="H804" s="21"/>
      <c r="I804" s="9"/>
      <c r="J804" s="9"/>
      <c r="K804" s="22">
        <f>SUM(R800:R803)</f>
        <v>6483.61</v>
      </c>
      <c r="L804" s="22"/>
    </row>
    <row r="805" spans="1:22" ht="14.25" x14ac:dyDescent="0.2">
      <c r="A805" s="19"/>
      <c r="B805" s="19"/>
      <c r="C805" s="19"/>
      <c r="D805" s="19" t="s">
        <v>503</v>
      </c>
      <c r="E805" s="20" t="s">
        <v>502</v>
      </c>
      <c r="F805" s="9">
        <f>Source!AU654</f>
        <v>10</v>
      </c>
      <c r="G805" s="22"/>
      <c r="H805" s="21"/>
      <c r="I805" s="9"/>
      <c r="J805" s="9"/>
      <c r="K805" s="22">
        <f>SUM(T800:T804)</f>
        <v>926.23</v>
      </c>
      <c r="L805" s="22"/>
    </row>
    <row r="806" spans="1:22" ht="14.25" x14ac:dyDescent="0.2">
      <c r="A806" s="19"/>
      <c r="B806" s="19"/>
      <c r="C806" s="19"/>
      <c r="D806" s="19" t="s">
        <v>504</v>
      </c>
      <c r="E806" s="20" t="s">
        <v>505</v>
      </c>
      <c r="F806" s="9">
        <f>Source!AQ654</f>
        <v>1.5</v>
      </c>
      <c r="G806" s="22"/>
      <c r="H806" s="21" t="str">
        <f>Source!DI654</f>
        <v/>
      </c>
      <c r="I806" s="9">
        <f>Source!AV654</f>
        <v>1</v>
      </c>
      <c r="J806" s="9"/>
      <c r="K806" s="22"/>
      <c r="L806" s="22">
        <f>Source!U654</f>
        <v>15</v>
      </c>
    </row>
    <row r="807" spans="1:22" ht="15" x14ac:dyDescent="0.25">
      <c r="A807" s="25"/>
      <c r="B807" s="25"/>
      <c r="C807" s="25"/>
      <c r="D807" s="25"/>
      <c r="E807" s="25"/>
      <c r="F807" s="25"/>
      <c r="G807" s="25"/>
      <c r="H807" s="25"/>
      <c r="I807" s="25"/>
      <c r="J807" s="52">
        <f>K802+K803+K804+K805</f>
        <v>16796.039999999997</v>
      </c>
      <c r="K807" s="52"/>
      <c r="L807" s="26">
        <f>IF(Source!I654&lt;&gt;0, ROUND(J807/Source!I654, 2), 0)</f>
        <v>1679.6</v>
      </c>
      <c r="P807" s="24">
        <f>J807</f>
        <v>16796.039999999997</v>
      </c>
    </row>
    <row r="808" spans="1:22" ht="57" x14ac:dyDescent="0.2">
      <c r="A808" s="19">
        <v>78</v>
      </c>
      <c r="B808" s="19">
        <v>78</v>
      </c>
      <c r="C808" s="19" t="str">
        <f>Source!F655</f>
        <v>1.21-2303-28-1/1</v>
      </c>
      <c r="D808" s="19" t="str">
        <f>Source!G655</f>
        <v>Техническое обслуживание автоматического выключателя до 160 А / Устройство защитного отключения 4p, Iн= 40А, диф=300мА</v>
      </c>
      <c r="E808" s="20" t="str">
        <f>Source!H655</f>
        <v>шт.</v>
      </c>
      <c r="F808" s="9">
        <f>Source!I655</f>
        <v>10</v>
      </c>
      <c r="G808" s="22"/>
      <c r="H808" s="21"/>
      <c r="I808" s="9"/>
      <c r="J808" s="9"/>
      <c r="K808" s="22"/>
      <c r="L808" s="22"/>
      <c r="Q808">
        <f>ROUND((Source!BZ655/100)*ROUND((Source!AF655*Source!AV655)*Source!I655, 2), 2)</f>
        <v>2980.6</v>
      </c>
      <c r="R808">
        <f>Source!X655</f>
        <v>2980.6</v>
      </c>
      <c r="S808">
        <f>ROUND((Source!CA655/100)*ROUND((Source!AF655*Source!AV655)*Source!I655, 2), 2)</f>
        <v>425.8</v>
      </c>
      <c r="T808">
        <f>Source!Y655</f>
        <v>425.8</v>
      </c>
      <c r="U808">
        <f>ROUND((175/100)*ROUND((Source!AE655*Source!AV655)*Source!I655, 2), 2)</f>
        <v>0</v>
      </c>
      <c r="V808">
        <f>ROUND((108/100)*ROUND(Source!CS655*Source!I655, 2), 2)</f>
        <v>0</v>
      </c>
    </row>
    <row r="809" spans="1:22" x14ac:dyDescent="0.2">
      <c r="D809" s="23" t="str">
        <f>"Объем: "&amp;Source!I655&amp;"=1*"&amp;"10"</f>
        <v>Объем: 10=1*10</v>
      </c>
    </row>
    <row r="810" spans="1:22" ht="14.25" x14ac:dyDescent="0.2">
      <c r="A810" s="19"/>
      <c r="B810" s="19"/>
      <c r="C810" s="19"/>
      <c r="D810" s="19" t="s">
        <v>500</v>
      </c>
      <c r="E810" s="20"/>
      <c r="F810" s="9"/>
      <c r="G810" s="22">
        <f>Source!AO655</f>
        <v>212.9</v>
      </c>
      <c r="H810" s="21" t="str">
        <f>Source!DG655</f>
        <v>)*2</v>
      </c>
      <c r="I810" s="9">
        <f>Source!AV655</f>
        <v>1</v>
      </c>
      <c r="J810" s="9">
        <f>IF(Source!BA655&lt;&gt; 0, Source!BA655, 1)</f>
        <v>1</v>
      </c>
      <c r="K810" s="22">
        <f>Source!S655</f>
        <v>4258</v>
      </c>
      <c r="L810" s="22"/>
    </row>
    <row r="811" spans="1:22" ht="14.25" x14ac:dyDescent="0.2">
      <c r="A811" s="19"/>
      <c r="B811" s="19"/>
      <c r="C811" s="19"/>
      <c r="D811" s="19" t="s">
        <v>508</v>
      </c>
      <c r="E811" s="20"/>
      <c r="F811" s="9"/>
      <c r="G811" s="22">
        <f>Source!AL655</f>
        <v>4.53</v>
      </c>
      <c r="H811" s="21" t="str">
        <f>Source!DD655</f>
        <v>)*2</v>
      </c>
      <c r="I811" s="9">
        <f>Source!AW655</f>
        <v>1</v>
      </c>
      <c r="J811" s="9">
        <f>IF(Source!BC655&lt;&gt; 0, Source!BC655, 1)</f>
        <v>1</v>
      </c>
      <c r="K811" s="22">
        <f>Source!P655</f>
        <v>90.6</v>
      </c>
      <c r="L811" s="22"/>
    </row>
    <row r="812" spans="1:22" ht="14.25" x14ac:dyDescent="0.2">
      <c r="A812" s="19"/>
      <c r="B812" s="19"/>
      <c r="C812" s="19"/>
      <c r="D812" s="19" t="s">
        <v>501</v>
      </c>
      <c r="E812" s="20" t="s">
        <v>502</v>
      </c>
      <c r="F812" s="9">
        <f>Source!AT655</f>
        <v>70</v>
      </c>
      <c r="G812" s="22"/>
      <c r="H812" s="21"/>
      <c r="I812" s="9"/>
      <c r="J812" s="9"/>
      <c r="K812" s="22">
        <f>SUM(R808:R811)</f>
        <v>2980.6</v>
      </c>
      <c r="L812" s="22"/>
    </row>
    <row r="813" spans="1:22" ht="14.25" x14ac:dyDescent="0.2">
      <c r="A813" s="19"/>
      <c r="B813" s="19"/>
      <c r="C813" s="19"/>
      <c r="D813" s="19" t="s">
        <v>503</v>
      </c>
      <c r="E813" s="20" t="s">
        <v>502</v>
      </c>
      <c r="F813" s="9">
        <f>Source!AU655</f>
        <v>10</v>
      </c>
      <c r="G813" s="22"/>
      <c r="H813" s="21"/>
      <c r="I813" s="9"/>
      <c r="J813" s="9"/>
      <c r="K813" s="22">
        <f>SUM(T808:T812)</f>
        <v>425.8</v>
      </c>
      <c r="L813" s="22"/>
    </row>
    <row r="814" spans="1:22" ht="14.25" x14ac:dyDescent="0.2">
      <c r="A814" s="19"/>
      <c r="B814" s="19"/>
      <c r="C814" s="19"/>
      <c r="D814" s="19" t="s">
        <v>504</v>
      </c>
      <c r="E814" s="20" t="s">
        <v>505</v>
      </c>
      <c r="F814" s="9">
        <f>Source!AQ655</f>
        <v>0.3</v>
      </c>
      <c r="G814" s="22"/>
      <c r="H814" s="21" t="str">
        <f>Source!DI655</f>
        <v>)*2</v>
      </c>
      <c r="I814" s="9">
        <f>Source!AV655</f>
        <v>1</v>
      </c>
      <c r="J814" s="9"/>
      <c r="K814" s="22"/>
      <c r="L814" s="22">
        <f>Source!U655</f>
        <v>6</v>
      </c>
    </row>
    <row r="815" spans="1:22" ht="15" x14ac:dyDescent="0.25">
      <c r="A815" s="25"/>
      <c r="B815" s="25"/>
      <c r="C815" s="25"/>
      <c r="D815" s="25"/>
      <c r="E815" s="25"/>
      <c r="F815" s="25"/>
      <c r="G815" s="25"/>
      <c r="H815" s="25"/>
      <c r="I815" s="25"/>
      <c r="J815" s="52">
        <f>K810+K811+K812+K813</f>
        <v>7755.0000000000009</v>
      </c>
      <c r="K815" s="52"/>
      <c r="L815" s="26">
        <f>IF(Source!I655&lt;&gt;0, ROUND(J815/Source!I655, 2), 0)</f>
        <v>775.5</v>
      </c>
      <c r="P815" s="24">
        <f>J815</f>
        <v>7755.0000000000009</v>
      </c>
    </row>
    <row r="816" spans="1:22" ht="71.25" x14ac:dyDescent="0.2">
      <c r="A816" s="19">
        <v>79</v>
      </c>
      <c r="B816" s="19">
        <v>79</v>
      </c>
      <c r="C816" s="19" t="str">
        <f>Source!F657</f>
        <v>1.21-2303-19-1/1</v>
      </c>
      <c r="D816" s="19" t="str">
        <f>Source!G657</f>
        <v>Техническое обслуживание выключателей автоматических однополюсных установочных на номинальный ток до 63 А/             1р, Iн=10А</v>
      </c>
      <c r="E816" s="20" t="str">
        <f>Source!H657</f>
        <v>шт.</v>
      </c>
      <c r="F816" s="9">
        <f>Source!I657</f>
        <v>80</v>
      </c>
      <c r="G816" s="22"/>
      <c r="H816" s="21"/>
      <c r="I816" s="9"/>
      <c r="J816" s="9"/>
      <c r="K816" s="22"/>
      <c r="L816" s="22"/>
      <c r="Q816">
        <f>ROUND((Source!BZ657/100)*ROUND((Source!AF657*Source!AV657)*Source!I657, 2), 2)</f>
        <v>41495.440000000002</v>
      </c>
      <c r="R816">
        <f>Source!X657</f>
        <v>41495.440000000002</v>
      </c>
      <c r="S816">
        <f>ROUND((Source!CA657/100)*ROUND((Source!AF657*Source!AV657)*Source!I657, 2), 2)</f>
        <v>5927.92</v>
      </c>
      <c r="T816">
        <f>Source!Y657</f>
        <v>5927.92</v>
      </c>
      <c r="U816">
        <f>ROUND((175/100)*ROUND((Source!AE657*Source!AV657)*Source!I657, 2), 2)</f>
        <v>0</v>
      </c>
      <c r="V816">
        <f>ROUND((108/100)*ROUND(Source!CS657*Source!I657, 2), 2)</f>
        <v>0</v>
      </c>
    </row>
    <row r="817" spans="1:22" x14ac:dyDescent="0.2">
      <c r="D817" s="23" t="str">
        <f>"Объем: "&amp;Source!I657&amp;"=8*"&amp;"10"</f>
        <v>Объем: 80=8*10</v>
      </c>
    </row>
    <row r="818" spans="1:22" ht="14.25" x14ac:dyDescent="0.2">
      <c r="A818" s="19"/>
      <c r="B818" s="19"/>
      <c r="C818" s="19"/>
      <c r="D818" s="19" t="s">
        <v>500</v>
      </c>
      <c r="E818" s="20"/>
      <c r="F818" s="9"/>
      <c r="G818" s="22">
        <f>Source!AO657</f>
        <v>740.99</v>
      </c>
      <c r="H818" s="21" t="str">
        <f>Source!DG657</f>
        <v/>
      </c>
      <c r="I818" s="9">
        <f>Source!AV657</f>
        <v>1</v>
      </c>
      <c r="J818" s="9">
        <f>IF(Source!BA657&lt;&gt; 0, Source!BA657, 1)</f>
        <v>1</v>
      </c>
      <c r="K818" s="22">
        <f>Source!S657</f>
        <v>59279.199999999997</v>
      </c>
      <c r="L818" s="22"/>
    </row>
    <row r="819" spans="1:22" ht="14.25" x14ac:dyDescent="0.2">
      <c r="A819" s="19"/>
      <c r="B819" s="19"/>
      <c r="C819" s="19"/>
      <c r="D819" s="19" t="s">
        <v>508</v>
      </c>
      <c r="E819" s="20"/>
      <c r="F819" s="9"/>
      <c r="G819" s="22">
        <f>Source!AL657</f>
        <v>1.7</v>
      </c>
      <c r="H819" s="21" t="str">
        <f>Source!DD657</f>
        <v/>
      </c>
      <c r="I819" s="9">
        <f>Source!AW657</f>
        <v>1</v>
      </c>
      <c r="J819" s="9">
        <f>IF(Source!BC657&lt;&gt; 0, Source!BC657, 1)</f>
        <v>1</v>
      </c>
      <c r="K819" s="22">
        <f>Source!P657</f>
        <v>136</v>
      </c>
      <c r="L819" s="22"/>
    </row>
    <row r="820" spans="1:22" ht="14.25" x14ac:dyDescent="0.2">
      <c r="A820" s="19"/>
      <c r="B820" s="19"/>
      <c r="C820" s="19"/>
      <c r="D820" s="19" t="s">
        <v>501</v>
      </c>
      <c r="E820" s="20" t="s">
        <v>502</v>
      </c>
      <c r="F820" s="9">
        <f>Source!AT657</f>
        <v>70</v>
      </c>
      <c r="G820" s="22"/>
      <c r="H820" s="21"/>
      <c r="I820" s="9"/>
      <c r="J820" s="9"/>
      <c r="K820" s="22">
        <f>SUM(R816:R819)</f>
        <v>41495.440000000002</v>
      </c>
      <c r="L820" s="22"/>
    </row>
    <row r="821" spans="1:22" ht="14.25" x14ac:dyDescent="0.2">
      <c r="A821" s="19"/>
      <c r="B821" s="19"/>
      <c r="C821" s="19"/>
      <c r="D821" s="19" t="s">
        <v>503</v>
      </c>
      <c r="E821" s="20" t="s">
        <v>502</v>
      </c>
      <c r="F821" s="9">
        <f>Source!AU657</f>
        <v>10</v>
      </c>
      <c r="G821" s="22"/>
      <c r="H821" s="21"/>
      <c r="I821" s="9"/>
      <c r="J821" s="9"/>
      <c r="K821" s="22">
        <f>SUM(T816:T820)</f>
        <v>5927.92</v>
      </c>
      <c r="L821" s="22"/>
    </row>
    <row r="822" spans="1:22" ht="14.25" x14ac:dyDescent="0.2">
      <c r="A822" s="19"/>
      <c r="B822" s="19"/>
      <c r="C822" s="19"/>
      <c r="D822" s="19" t="s">
        <v>504</v>
      </c>
      <c r="E822" s="20" t="s">
        <v>505</v>
      </c>
      <c r="F822" s="9">
        <f>Source!AQ657</f>
        <v>1.2</v>
      </c>
      <c r="G822" s="22"/>
      <c r="H822" s="21" t="str">
        <f>Source!DI657</f>
        <v/>
      </c>
      <c r="I822" s="9">
        <f>Source!AV657</f>
        <v>1</v>
      </c>
      <c r="J822" s="9"/>
      <c r="K822" s="22"/>
      <c r="L822" s="22">
        <f>Source!U657</f>
        <v>96</v>
      </c>
    </row>
    <row r="823" spans="1:22" ht="15" x14ac:dyDescent="0.25">
      <c r="A823" s="25"/>
      <c r="B823" s="25"/>
      <c r="C823" s="25"/>
      <c r="D823" s="25"/>
      <c r="E823" s="25"/>
      <c r="F823" s="25"/>
      <c r="G823" s="25"/>
      <c r="H823" s="25"/>
      <c r="I823" s="25"/>
      <c r="J823" s="52">
        <f>K818+K819+K820+K821</f>
        <v>106838.56</v>
      </c>
      <c r="K823" s="52"/>
      <c r="L823" s="26">
        <f>IF(Source!I657&lt;&gt;0, ROUND(J823/Source!I657, 2), 0)</f>
        <v>1335.48</v>
      </c>
      <c r="P823" s="24">
        <f>J823</f>
        <v>106838.56</v>
      </c>
    </row>
    <row r="824" spans="1:22" ht="71.25" x14ac:dyDescent="0.2">
      <c r="A824" s="19">
        <v>80</v>
      </c>
      <c r="B824" s="19">
        <v>80</v>
      </c>
      <c r="C824" s="19" t="str">
        <f>Source!F659</f>
        <v>1.21-2303-19-1/1</v>
      </c>
      <c r="D824" s="19" t="str">
        <f>Source!G659</f>
        <v>Техническое обслуживание выключателей автоматических однополюсных установочных на номинальный ток до 63 А/             1р, Iн=16А</v>
      </c>
      <c r="E824" s="20" t="str">
        <f>Source!H659</f>
        <v>шт.</v>
      </c>
      <c r="F824" s="9">
        <f>Source!I659</f>
        <v>80</v>
      </c>
      <c r="G824" s="22"/>
      <c r="H824" s="21"/>
      <c r="I824" s="9"/>
      <c r="J824" s="9"/>
      <c r="K824" s="22"/>
      <c r="L824" s="22"/>
      <c r="Q824">
        <f>ROUND((Source!BZ659/100)*ROUND((Source!AF659*Source!AV659)*Source!I659, 2), 2)</f>
        <v>41495.440000000002</v>
      </c>
      <c r="R824">
        <f>Source!X659</f>
        <v>41495.440000000002</v>
      </c>
      <c r="S824">
        <f>ROUND((Source!CA659/100)*ROUND((Source!AF659*Source!AV659)*Source!I659, 2), 2)</f>
        <v>5927.92</v>
      </c>
      <c r="T824">
        <f>Source!Y659</f>
        <v>5927.92</v>
      </c>
      <c r="U824">
        <f>ROUND((175/100)*ROUND((Source!AE659*Source!AV659)*Source!I659, 2), 2)</f>
        <v>0</v>
      </c>
      <c r="V824">
        <f>ROUND((108/100)*ROUND(Source!CS659*Source!I659, 2), 2)</f>
        <v>0</v>
      </c>
    </row>
    <row r="825" spans="1:22" x14ac:dyDescent="0.2">
      <c r="D825" s="23" t="str">
        <f>"Объем: "&amp;Source!I659&amp;"=8*"&amp;"10"</f>
        <v>Объем: 80=8*10</v>
      </c>
    </row>
    <row r="826" spans="1:22" ht="14.25" x14ac:dyDescent="0.2">
      <c r="A826" s="19"/>
      <c r="B826" s="19"/>
      <c r="C826" s="19"/>
      <c r="D826" s="19" t="s">
        <v>500</v>
      </c>
      <c r="E826" s="20"/>
      <c r="F826" s="9"/>
      <c r="G826" s="22">
        <f>Source!AO659</f>
        <v>740.99</v>
      </c>
      <c r="H826" s="21" t="str">
        <f>Source!DG659</f>
        <v/>
      </c>
      <c r="I826" s="9">
        <f>Source!AV659</f>
        <v>1</v>
      </c>
      <c r="J826" s="9">
        <f>IF(Source!BA659&lt;&gt; 0, Source!BA659, 1)</f>
        <v>1</v>
      </c>
      <c r="K826" s="22">
        <f>Source!S659</f>
        <v>59279.199999999997</v>
      </c>
      <c r="L826" s="22"/>
    </row>
    <row r="827" spans="1:22" ht="14.25" x14ac:dyDescent="0.2">
      <c r="A827" s="19"/>
      <c r="B827" s="19"/>
      <c r="C827" s="19"/>
      <c r="D827" s="19" t="s">
        <v>508</v>
      </c>
      <c r="E827" s="20"/>
      <c r="F827" s="9"/>
      <c r="G827" s="22">
        <f>Source!AL659</f>
        <v>1.7</v>
      </c>
      <c r="H827" s="21" t="str">
        <f>Source!DD659</f>
        <v/>
      </c>
      <c r="I827" s="9">
        <f>Source!AW659</f>
        <v>1</v>
      </c>
      <c r="J827" s="9">
        <f>IF(Source!BC659&lt;&gt; 0, Source!BC659, 1)</f>
        <v>1</v>
      </c>
      <c r="K827" s="22">
        <f>Source!P659</f>
        <v>136</v>
      </c>
      <c r="L827" s="22"/>
    </row>
    <row r="828" spans="1:22" ht="14.25" x14ac:dyDescent="0.2">
      <c r="A828" s="19"/>
      <c r="B828" s="19"/>
      <c r="C828" s="19"/>
      <c r="D828" s="19" t="s">
        <v>501</v>
      </c>
      <c r="E828" s="20" t="s">
        <v>502</v>
      </c>
      <c r="F828" s="9">
        <f>Source!AT659</f>
        <v>70</v>
      </c>
      <c r="G828" s="22"/>
      <c r="H828" s="21"/>
      <c r="I828" s="9"/>
      <c r="J828" s="9"/>
      <c r="K828" s="22">
        <f>SUM(R824:R827)</f>
        <v>41495.440000000002</v>
      </c>
      <c r="L828" s="22"/>
    </row>
    <row r="829" spans="1:22" ht="14.25" x14ac:dyDescent="0.2">
      <c r="A829" s="19"/>
      <c r="B829" s="19"/>
      <c r="C829" s="19"/>
      <c r="D829" s="19" t="s">
        <v>503</v>
      </c>
      <c r="E829" s="20" t="s">
        <v>502</v>
      </c>
      <c r="F829" s="9">
        <f>Source!AU659</f>
        <v>10</v>
      </c>
      <c r="G829" s="22"/>
      <c r="H829" s="21"/>
      <c r="I829" s="9"/>
      <c r="J829" s="9"/>
      <c r="K829" s="22">
        <f>SUM(T824:T828)</f>
        <v>5927.92</v>
      </c>
      <c r="L829" s="22"/>
    </row>
    <row r="830" spans="1:22" ht="14.25" x14ac:dyDescent="0.2">
      <c r="A830" s="19"/>
      <c r="B830" s="19"/>
      <c r="C830" s="19"/>
      <c r="D830" s="19" t="s">
        <v>504</v>
      </c>
      <c r="E830" s="20" t="s">
        <v>505</v>
      </c>
      <c r="F830" s="9">
        <f>Source!AQ659</f>
        <v>1.2</v>
      </c>
      <c r="G830" s="22"/>
      <c r="H830" s="21" t="str">
        <f>Source!DI659</f>
        <v/>
      </c>
      <c r="I830" s="9">
        <f>Source!AV659</f>
        <v>1</v>
      </c>
      <c r="J830" s="9"/>
      <c r="K830" s="22"/>
      <c r="L830" s="22">
        <f>Source!U659</f>
        <v>96</v>
      </c>
    </row>
    <row r="831" spans="1:22" ht="15" x14ac:dyDescent="0.25">
      <c r="A831" s="25"/>
      <c r="B831" s="25"/>
      <c r="C831" s="25"/>
      <c r="D831" s="25"/>
      <c r="E831" s="25"/>
      <c r="F831" s="25"/>
      <c r="G831" s="25"/>
      <c r="H831" s="25"/>
      <c r="I831" s="25"/>
      <c r="J831" s="52">
        <f>K826+K827+K828+K829</f>
        <v>106838.56</v>
      </c>
      <c r="K831" s="52"/>
      <c r="L831" s="26">
        <f>IF(Source!I659&lt;&gt;0, ROUND(J831/Source!I659, 2), 0)</f>
        <v>1335.48</v>
      </c>
      <c r="P831" s="24">
        <f>J831</f>
        <v>106838.56</v>
      </c>
    </row>
    <row r="832" spans="1:22" ht="71.25" x14ac:dyDescent="0.2">
      <c r="A832" s="19">
        <v>81</v>
      </c>
      <c r="B832" s="19">
        <v>81</v>
      </c>
      <c r="C832" s="19" t="str">
        <f>Source!F660</f>
        <v>1.21-2303-28-1/1</v>
      </c>
      <c r="D832" s="19" t="str">
        <f>Source!G660</f>
        <v>Техническое обслуживание автоматического выключателя до 160 А / Дифференциальный автоматический выключатель, Iн=16А, Iдиф=30мА</v>
      </c>
      <c r="E832" s="20" t="str">
        <f>Source!H660</f>
        <v>шт.</v>
      </c>
      <c r="F832" s="9">
        <f>Source!I660</f>
        <v>20</v>
      </c>
      <c r="G832" s="22"/>
      <c r="H832" s="21"/>
      <c r="I832" s="9"/>
      <c r="J832" s="9"/>
      <c r="K832" s="22"/>
      <c r="L832" s="22"/>
      <c r="Q832">
        <f>ROUND((Source!BZ660/100)*ROUND((Source!AF660*Source!AV660)*Source!I660, 2), 2)</f>
        <v>5961.2</v>
      </c>
      <c r="R832">
        <f>Source!X660</f>
        <v>5961.2</v>
      </c>
      <c r="S832">
        <f>ROUND((Source!CA660/100)*ROUND((Source!AF660*Source!AV660)*Source!I660, 2), 2)</f>
        <v>851.6</v>
      </c>
      <c r="T832">
        <f>Source!Y660</f>
        <v>851.6</v>
      </c>
      <c r="U832">
        <f>ROUND((175/100)*ROUND((Source!AE660*Source!AV660)*Source!I660, 2), 2)</f>
        <v>0</v>
      </c>
      <c r="V832">
        <f>ROUND((108/100)*ROUND(Source!CS660*Source!I660, 2), 2)</f>
        <v>0</v>
      </c>
    </row>
    <row r="833" spans="1:22" x14ac:dyDescent="0.2">
      <c r="D833" s="23" t="str">
        <f>"Объем: "&amp;Source!I660&amp;"=2*"&amp;"10"</f>
        <v>Объем: 20=2*10</v>
      </c>
    </row>
    <row r="834" spans="1:22" ht="14.25" x14ac:dyDescent="0.2">
      <c r="A834" s="19"/>
      <c r="B834" s="19"/>
      <c r="C834" s="19"/>
      <c r="D834" s="19" t="s">
        <v>500</v>
      </c>
      <c r="E834" s="20"/>
      <c r="F834" s="9"/>
      <c r="G834" s="22">
        <f>Source!AO660</f>
        <v>212.9</v>
      </c>
      <c r="H834" s="21" t="str">
        <f>Source!DG660</f>
        <v>)*2</v>
      </c>
      <c r="I834" s="9">
        <f>Source!AV660</f>
        <v>1</v>
      </c>
      <c r="J834" s="9">
        <f>IF(Source!BA660&lt;&gt; 0, Source!BA660, 1)</f>
        <v>1</v>
      </c>
      <c r="K834" s="22">
        <f>Source!S660</f>
        <v>8516</v>
      </c>
      <c r="L834" s="22"/>
    </row>
    <row r="835" spans="1:22" ht="14.25" x14ac:dyDescent="0.2">
      <c r="A835" s="19"/>
      <c r="B835" s="19"/>
      <c r="C835" s="19"/>
      <c r="D835" s="19" t="s">
        <v>508</v>
      </c>
      <c r="E835" s="20"/>
      <c r="F835" s="9"/>
      <c r="G835" s="22">
        <f>Source!AL660</f>
        <v>4.53</v>
      </c>
      <c r="H835" s="21" t="str">
        <f>Source!DD660</f>
        <v>)*2</v>
      </c>
      <c r="I835" s="9">
        <f>Source!AW660</f>
        <v>1</v>
      </c>
      <c r="J835" s="9">
        <f>IF(Source!BC660&lt;&gt; 0, Source!BC660, 1)</f>
        <v>1</v>
      </c>
      <c r="K835" s="22">
        <f>Source!P660</f>
        <v>181.2</v>
      </c>
      <c r="L835" s="22"/>
    </row>
    <row r="836" spans="1:22" ht="14.25" x14ac:dyDescent="0.2">
      <c r="A836" s="19"/>
      <c r="B836" s="19"/>
      <c r="C836" s="19"/>
      <c r="D836" s="19" t="s">
        <v>501</v>
      </c>
      <c r="E836" s="20" t="s">
        <v>502</v>
      </c>
      <c r="F836" s="9">
        <f>Source!AT660</f>
        <v>70</v>
      </c>
      <c r="G836" s="22"/>
      <c r="H836" s="21"/>
      <c r="I836" s="9"/>
      <c r="J836" s="9"/>
      <c r="K836" s="22">
        <f>SUM(R832:R835)</f>
        <v>5961.2</v>
      </c>
      <c r="L836" s="22"/>
    </row>
    <row r="837" spans="1:22" ht="14.25" x14ac:dyDescent="0.2">
      <c r="A837" s="19"/>
      <c r="B837" s="19"/>
      <c r="C837" s="19"/>
      <c r="D837" s="19" t="s">
        <v>503</v>
      </c>
      <c r="E837" s="20" t="s">
        <v>502</v>
      </c>
      <c r="F837" s="9">
        <f>Source!AU660</f>
        <v>10</v>
      </c>
      <c r="G837" s="22"/>
      <c r="H837" s="21"/>
      <c r="I837" s="9"/>
      <c r="J837" s="9"/>
      <c r="K837" s="22">
        <f>SUM(T832:T836)</f>
        <v>851.6</v>
      </c>
      <c r="L837" s="22"/>
    </row>
    <row r="838" spans="1:22" ht="14.25" x14ac:dyDescent="0.2">
      <c r="A838" s="19"/>
      <c r="B838" s="19"/>
      <c r="C838" s="19"/>
      <c r="D838" s="19" t="s">
        <v>504</v>
      </c>
      <c r="E838" s="20" t="s">
        <v>505</v>
      </c>
      <c r="F838" s="9">
        <f>Source!AQ660</f>
        <v>0.3</v>
      </c>
      <c r="G838" s="22"/>
      <c r="H838" s="21" t="str">
        <f>Source!DI660</f>
        <v>)*2</v>
      </c>
      <c r="I838" s="9">
        <f>Source!AV660</f>
        <v>1</v>
      </c>
      <c r="J838" s="9"/>
      <c r="K838" s="22"/>
      <c r="L838" s="22">
        <f>Source!U660</f>
        <v>12</v>
      </c>
    </row>
    <row r="839" spans="1:22" ht="15" x14ac:dyDescent="0.25">
      <c r="A839" s="25"/>
      <c r="B839" s="25"/>
      <c r="C839" s="25"/>
      <c r="D839" s="25"/>
      <c r="E839" s="25"/>
      <c r="F839" s="25"/>
      <c r="G839" s="25"/>
      <c r="H839" s="25"/>
      <c r="I839" s="25"/>
      <c r="J839" s="52">
        <f>K834+K835+K836+K837</f>
        <v>15510.000000000002</v>
      </c>
      <c r="K839" s="52"/>
      <c r="L839" s="26">
        <f>IF(Source!I660&lt;&gt;0, ROUND(J839/Source!I660, 2), 0)</f>
        <v>775.5</v>
      </c>
      <c r="P839" s="24">
        <f>J839</f>
        <v>15510.000000000002</v>
      </c>
    </row>
    <row r="841" spans="1:22" ht="15" x14ac:dyDescent="0.25">
      <c r="C841" s="55" t="str">
        <f>Source!G661</f>
        <v>Светильники</v>
      </c>
      <c r="D841" s="55"/>
      <c r="E841" s="55"/>
      <c r="F841" s="55"/>
      <c r="G841" s="55"/>
      <c r="H841" s="55"/>
      <c r="I841" s="55"/>
      <c r="J841" s="55"/>
      <c r="K841" s="55"/>
    </row>
    <row r="842" spans="1:22" ht="93.75" x14ac:dyDescent="0.2">
      <c r="A842" s="19">
        <v>82</v>
      </c>
      <c r="B842" s="19">
        <v>82</v>
      </c>
      <c r="C842" s="19" t="s">
        <v>510</v>
      </c>
      <c r="D842" s="19" t="s">
        <v>514</v>
      </c>
      <c r="E842" s="20" t="str">
        <f>Source!H662</f>
        <v>шт.</v>
      </c>
      <c r="F842" s="9">
        <f>Source!I662</f>
        <v>80</v>
      </c>
      <c r="G842" s="22"/>
      <c r="H842" s="21"/>
      <c r="I842" s="9"/>
      <c r="J842" s="9"/>
      <c r="K842" s="22"/>
      <c r="L842" s="22"/>
      <c r="Q842">
        <f>ROUND((Source!BZ662/100)*ROUND((Source!AF662*Source!AV662)*Source!I662, 2), 2)</f>
        <v>13096.43</v>
      </c>
      <c r="R842">
        <f>Source!X662</f>
        <v>13096.43</v>
      </c>
      <c r="S842">
        <f>ROUND((Source!CA662/100)*ROUND((Source!AF662*Source!AV662)*Source!I662, 2), 2)</f>
        <v>1870.92</v>
      </c>
      <c r="T842">
        <f>Source!Y662</f>
        <v>1870.92</v>
      </c>
      <c r="U842">
        <f>ROUND((175/100)*ROUND((Source!AE662*Source!AV662)*Source!I662, 2), 2)</f>
        <v>0</v>
      </c>
      <c r="V842">
        <f>ROUND((108/100)*ROUND(Source!CS662*Source!I662, 2), 2)</f>
        <v>0</v>
      </c>
    </row>
    <row r="843" spans="1:22" x14ac:dyDescent="0.2">
      <c r="D843" s="23" t="str">
        <f>"Объем: "&amp;Source!I662&amp;"=8*"&amp;"10"</f>
        <v>Объем: 80=8*10</v>
      </c>
    </row>
    <row r="844" spans="1:22" ht="14.25" x14ac:dyDescent="0.2">
      <c r="A844" s="19"/>
      <c r="B844" s="19"/>
      <c r="C844" s="19"/>
      <c r="D844" s="19" t="s">
        <v>500</v>
      </c>
      <c r="E844" s="20"/>
      <c r="F844" s="9"/>
      <c r="G844" s="22">
        <f>Source!AO662</f>
        <v>224.87</v>
      </c>
      <c r="H844" s="21" t="str">
        <f>Source!DG662</f>
        <v>)*1,04</v>
      </c>
      <c r="I844" s="9">
        <f>Source!AV662</f>
        <v>1</v>
      </c>
      <c r="J844" s="9">
        <f>IF(Source!BA662&lt;&gt; 0, Source!BA662, 1)</f>
        <v>1</v>
      </c>
      <c r="K844" s="22">
        <f>Source!S662</f>
        <v>18709.18</v>
      </c>
      <c r="L844" s="22"/>
    </row>
    <row r="845" spans="1:22" ht="14.25" x14ac:dyDescent="0.2">
      <c r="A845" s="19"/>
      <c r="B845" s="19"/>
      <c r="C845" s="19"/>
      <c r="D845" s="19" t="s">
        <v>508</v>
      </c>
      <c r="E845" s="20"/>
      <c r="F845" s="9"/>
      <c r="G845" s="22">
        <f>Source!AL662</f>
        <v>1.26</v>
      </c>
      <c r="H845" s="21" t="str">
        <f>Source!DD662</f>
        <v/>
      </c>
      <c r="I845" s="9">
        <f>Source!AW662</f>
        <v>1</v>
      </c>
      <c r="J845" s="9">
        <f>IF(Source!BC662&lt;&gt; 0, Source!BC662, 1)</f>
        <v>1</v>
      </c>
      <c r="K845" s="22">
        <f>Source!P662</f>
        <v>100.8</v>
      </c>
      <c r="L845" s="22"/>
    </row>
    <row r="846" spans="1:22" ht="14.25" x14ac:dyDescent="0.2">
      <c r="A846" s="19"/>
      <c r="B846" s="19"/>
      <c r="C846" s="19"/>
      <c r="D846" s="19" t="s">
        <v>501</v>
      </c>
      <c r="E846" s="20" t="s">
        <v>502</v>
      </c>
      <c r="F846" s="9">
        <f>Source!AT662</f>
        <v>70</v>
      </c>
      <c r="G846" s="22"/>
      <c r="H846" s="21"/>
      <c r="I846" s="9"/>
      <c r="J846" s="9"/>
      <c r="K846" s="22">
        <f>SUM(R842:R845)</f>
        <v>13096.43</v>
      </c>
      <c r="L846" s="22"/>
    </row>
    <row r="847" spans="1:22" ht="14.25" x14ac:dyDescent="0.2">
      <c r="A847" s="19"/>
      <c r="B847" s="19"/>
      <c r="C847" s="19"/>
      <c r="D847" s="19" t="s">
        <v>503</v>
      </c>
      <c r="E847" s="20" t="s">
        <v>502</v>
      </c>
      <c r="F847" s="9">
        <f>Source!AU662</f>
        <v>10</v>
      </c>
      <c r="G847" s="22"/>
      <c r="H847" s="21"/>
      <c r="I847" s="9"/>
      <c r="J847" s="9"/>
      <c r="K847" s="22">
        <f>SUM(T842:T846)</f>
        <v>1870.92</v>
      </c>
      <c r="L847" s="22"/>
    </row>
    <row r="848" spans="1:22" ht="14.25" x14ac:dyDescent="0.2">
      <c r="A848" s="19"/>
      <c r="B848" s="19"/>
      <c r="C848" s="19"/>
      <c r="D848" s="19" t="s">
        <v>504</v>
      </c>
      <c r="E848" s="20" t="s">
        <v>505</v>
      </c>
      <c r="F848" s="9">
        <f>Source!AQ662</f>
        <v>0.4</v>
      </c>
      <c r="G848" s="22"/>
      <c r="H848" s="21" t="str">
        <f>Source!DI662</f>
        <v>)*1,04</v>
      </c>
      <c r="I848" s="9">
        <f>Source!AV662</f>
        <v>1</v>
      </c>
      <c r="J848" s="9"/>
      <c r="K848" s="22"/>
      <c r="L848" s="22">
        <f>Source!U662</f>
        <v>33.28</v>
      </c>
    </row>
    <row r="849" spans="1:22" ht="15" x14ac:dyDescent="0.25">
      <c r="A849" s="25"/>
      <c r="B849" s="25"/>
      <c r="C849" s="25"/>
      <c r="D849" s="25"/>
      <c r="E849" s="25"/>
      <c r="F849" s="25"/>
      <c r="G849" s="25"/>
      <c r="H849" s="25"/>
      <c r="I849" s="25"/>
      <c r="J849" s="52">
        <f>K844+K845+K846+K847</f>
        <v>33777.33</v>
      </c>
      <c r="K849" s="52"/>
      <c r="L849" s="26">
        <f>IF(Source!I662&lt;&gt;0, ROUND(J849/Source!I662, 2), 0)</f>
        <v>422.22</v>
      </c>
      <c r="P849" s="24">
        <f>J849</f>
        <v>33777.33</v>
      </c>
    </row>
    <row r="850" spans="1:22" ht="165" x14ac:dyDescent="0.2">
      <c r="A850" s="19">
        <v>83</v>
      </c>
      <c r="B850" s="19">
        <v>83</v>
      </c>
      <c r="C850" s="19" t="s">
        <v>515</v>
      </c>
      <c r="D850" s="19" t="s">
        <v>516</v>
      </c>
      <c r="E850" s="20" t="str">
        <f>Source!H663</f>
        <v>шт.</v>
      </c>
      <c r="F850" s="9">
        <f>Source!I663</f>
        <v>90</v>
      </c>
      <c r="G850" s="22"/>
      <c r="H850" s="21"/>
      <c r="I850" s="9"/>
      <c r="J850" s="9"/>
      <c r="K850" s="22"/>
      <c r="L850" s="22"/>
      <c r="Q850">
        <f>ROUND((Source!BZ663/100)*ROUND((Source!AF663*Source!AV663)*Source!I663, 2), 2)</f>
        <v>6629.97</v>
      </c>
      <c r="R850">
        <f>Source!X663</f>
        <v>6629.97</v>
      </c>
      <c r="S850">
        <f>ROUND((Source!CA663/100)*ROUND((Source!AF663*Source!AV663)*Source!I663, 2), 2)</f>
        <v>947.14</v>
      </c>
      <c r="T850">
        <f>Source!Y663</f>
        <v>947.14</v>
      </c>
      <c r="U850">
        <f>ROUND((175/100)*ROUND((Source!AE663*Source!AV663)*Source!I663, 2), 2)</f>
        <v>0</v>
      </c>
      <c r="V850">
        <f>ROUND((108/100)*ROUND(Source!CS663*Source!I663, 2), 2)</f>
        <v>0</v>
      </c>
    </row>
    <row r="851" spans="1:22" x14ac:dyDescent="0.2">
      <c r="D851" s="23" t="str">
        <f>"Объем: "&amp;Source!I663&amp;"=9*"&amp;"10"</f>
        <v>Объем: 90=9*10</v>
      </c>
    </row>
    <row r="852" spans="1:22" ht="14.25" x14ac:dyDescent="0.2">
      <c r="A852" s="19"/>
      <c r="B852" s="19"/>
      <c r="C852" s="19"/>
      <c r="D852" s="19" t="s">
        <v>500</v>
      </c>
      <c r="E852" s="20"/>
      <c r="F852" s="9"/>
      <c r="G852" s="22">
        <f>Source!AO663</f>
        <v>101.19</v>
      </c>
      <c r="H852" s="21" t="str">
        <f>Source!DG663</f>
        <v>)*1,04</v>
      </c>
      <c r="I852" s="9">
        <f>Source!AV663</f>
        <v>1</v>
      </c>
      <c r="J852" s="9">
        <f>IF(Source!BA663&lt;&gt; 0, Source!BA663, 1)</f>
        <v>1</v>
      </c>
      <c r="K852" s="22">
        <f>Source!S663</f>
        <v>9471.3799999999992</v>
      </c>
      <c r="L852" s="22"/>
    </row>
    <row r="853" spans="1:22" ht="14.25" x14ac:dyDescent="0.2">
      <c r="A853" s="19"/>
      <c r="B853" s="19"/>
      <c r="C853" s="19"/>
      <c r="D853" s="19" t="s">
        <v>508</v>
      </c>
      <c r="E853" s="20"/>
      <c r="F853" s="9"/>
      <c r="G853" s="22">
        <f>Source!AL663</f>
        <v>1.26</v>
      </c>
      <c r="H853" s="21" t="str">
        <f>Source!DD663</f>
        <v/>
      </c>
      <c r="I853" s="9">
        <f>Source!AW663</f>
        <v>1</v>
      </c>
      <c r="J853" s="9">
        <f>IF(Source!BC663&lt;&gt; 0, Source!BC663, 1)</f>
        <v>1</v>
      </c>
      <c r="K853" s="22">
        <f>Source!P663</f>
        <v>113.4</v>
      </c>
      <c r="L853" s="22"/>
    </row>
    <row r="854" spans="1:22" ht="14.25" x14ac:dyDescent="0.2">
      <c r="A854" s="19"/>
      <c r="B854" s="19"/>
      <c r="C854" s="19"/>
      <c r="D854" s="19" t="s">
        <v>501</v>
      </c>
      <c r="E854" s="20" t="s">
        <v>502</v>
      </c>
      <c r="F854" s="9">
        <f>Source!AT663</f>
        <v>70</v>
      </c>
      <c r="G854" s="22"/>
      <c r="H854" s="21"/>
      <c r="I854" s="9"/>
      <c r="J854" s="9"/>
      <c r="K854" s="22">
        <f>SUM(R850:R853)</f>
        <v>6629.97</v>
      </c>
      <c r="L854" s="22"/>
    </row>
    <row r="855" spans="1:22" ht="14.25" x14ac:dyDescent="0.2">
      <c r="A855" s="19"/>
      <c r="B855" s="19"/>
      <c r="C855" s="19"/>
      <c r="D855" s="19" t="s">
        <v>503</v>
      </c>
      <c r="E855" s="20" t="s">
        <v>502</v>
      </c>
      <c r="F855" s="9">
        <f>Source!AU663</f>
        <v>10</v>
      </c>
      <c r="G855" s="22"/>
      <c r="H855" s="21"/>
      <c r="I855" s="9"/>
      <c r="J855" s="9"/>
      <c r="K855" s="22">
        <f>SUM(T850:T854)</f>
        <v>947.14</v>
      </c>
      <c r="L855" s="22"/>
    </row>
    <row r="856" spans="1:22" ht="14.25" x14ac:dyDescent="0.2">
      <c r="A856" s="19"/>
      <c r="B856" s="19"/>
      <c r="C856" s="19"/>
      <c r="D856" s="19" t="s">
        <v>504</v>
      </c>
      <c r="E856" s="20" t="s">
        <v>505</v>
      </c>
      <c r="F856" s="9">
        <f>Source!AQ663</f>
        <v>0.18</v>
      </c>
      <c r="G856" s="22"/>
      <c r="H856" s="21" t="str">
        <f>Source!DI663</f>
        <v>)*1,04</v>
      </c>
      <c r="I856" s="9">
        <f>Source!AV663</f>
        <v>1</v>
      </c>
      <c r="J856" s="9"/>
      <c r="K856" s="22"/>
      <c r="L856" s="22">
        <f>Source!U663</f>
        <v>16.847999999999999</v>
      </c>
    </row>
    <row r="857" spans="1:22" ht="15" x14ac:dyDescent="0.25">
      <c r="A857" s="25"/>
      <c r="B857" s="25"/>
      <c r="C857" s="25"/>
      <c r="D857" s="25"/>
      <c r="E857" s="25"/>
      <c r="F857" s="25"/>
      <c r="G857" s="25"/>
      <c r="H857" s="25"/>
      <c r="I857" s="25"/>
      <c r="J857" s="52">
        <f>K852+K853+K854+K855</f>
        <v>17161.89</v>
      </c>
      <c r="K857" s="52"/>
      <c r="L857" s="26">
        <f>IF(Source!I663&lt;&gt;0, ROUND(J857/Source!I663, 2), 0)</f>
        <v>190.69</v>
      </c>
      <c r="P857" s="24">
        <f>J857</f>
        <v>17161.89</v>
      </c>
    </row>
    <row r="858" spans="1:22" ht="179.25" x14ac:dyDescent="0.2">
      <c r="A858" s="19">
        <v>84</v>
      </c>
      <c r="B858" s="19">
        <v>84</v>
      </c>
      <c r="C858" s="19" t="s">
        <v>512</v>
      </c>
      <c r="D858" s="19" t="s">
        <v>517</v>
      </c>
      <c r="E858" s="20" t="str">
        <f>Source!H664</f>
        <v>шт.</v>
      </c>
      <c r="F858" s="9">
        <f>Source!I664</f>
        <v>40</v>
      </c>
      <c r="G858" s="22"/>
      <c r="H858" s="21"/>
      <c r="I858" s="9"/>
      <c r="J858" s="9"/>
      <c r="K858" s="22"/>
      <c r="L858" s="22"/>
      <c r="Q858">
        <f>ROUND((Source!BZ664/100)*ROUND((Source!AF664*Source!AV664)*Source!I664, 2), 2)</f>
        <v>4911.09</v>
      </c>
      <c r="R858">
        <f>Source!X664</f>
        <v>4911.09</v>
      </c>
      <c r="S858">
        <f>ROUND((Source!CA664/100)*ROUND((Source!AF664*Source!AV664)*Source!I664, 2), 2)</f>
        <v>701.58</v>
      </c>
      <c r="T858">
        <f>Source!Y664</f>
        <v>701.58</v>
      </c>
      <c r="U858">
        <f>ROUND((175/100)*ROUND((Source!AE664*Source!AV664)*Source!I664, 2), 2)</f>
        <v>0</v>
      </c>
      <c r="V858">
        <f>ROUND((108/100)*ROUND(Source!CS664*Source!I664, 2), 2)</f>
        <v>0</v>
      </c>
    </row>
    <row r="859" spans="1:22" x14ac:dyDescent="0.2">
      <c r="D859" s="23" t="str">
        <f>"Объем: "&amp;Source!I664&amp;"=4*"&amp;"10"</f>
        <v>Объем: 40=4*10</v>
      </c>
    </row>
    <row r="860" spans="1:22" ht="14.25" x14ac:dyDescent="0.2">
      <c r="A860" s="19"/>
      <c r="B860" s="19"/>
      <c r="C860" s="19"/>
      <c r="D860" s="19" t="s">
        <v>500</v>
      </c>
      <c r="E860" s="20"/>
      <c r="F860" s="9"/>
      <c r="G860" s="22">
        <f>Source!AO664</f>
        <v>168.65</v>
      </c>
      <c r="H860" s="21" t="str">
        <f>Source!DG664</f>
        <v>)*1,04</v>
      </c>
      <c r="I860" s="9">
        <f>Source!AV664</f>
        <v>1</v>
      </c>
      <c r="J860" s="9">
        <f>IF(Source!BA664&lt;&gt; 0, Source!BA664, 1)</f>
        <v>1</v>
      </c>
      <c r="K860" s="22">
        <f>Source!S664</f>
        <v>7015.84</v>
      </c>
      <c r="L860" s="22"/>
    </row>
    <row r="861" spans="1:22" ht="14.25" x14ac:dyDescent="0.2">
      <c r="A861" s="19"/>
      <c r="B861" s="19"/>
      <c r="C861" s="19"/>
      <c r="D861" s="19" t="s">
        <v>508</v>
      </c>
      <c r="E861" s="20"/>
      <c r="F861" s="9"/>
      <c r="G861" s="22">
        <f>Source!AL664</f>
        <v>0.63</v>
      </c>
      <c r="H861" s="21" t="str">
        <f>Source!DD664</f>
        <v/>
      </c>
      <c r="I861" s="9">
        <f>Source!AW664</f>
        <v>1</v>
      </c>
      <c r="J861" s="9">
        <f>IF(Source!BC664&lt;&gt; 0, Source!BC664, 1)</f>
        <v>1</v>
      </c>
      <c r="K861" s="22">
        <f>Source!P664</f>
        <v>25.2</v>
      </c>
      <c r="L861" s="22"/>
    </row>
    <row r="862" spans="1:22" ht="14.25" x14ac:dyDescent="0.2">
      <c r="A862" s="19"/>
      <c r="B862" s="19"/>
      <c r="C862" s="19"/>
      <c r="D862" s="19" t="s">
        <v>501</v>
      </c>
      <c r="E862" s="20" t="s">
        <v>502</v>
      </c>
      <c r="F862" s="9">
        <f>Source!AT664</f>
        <v>70</v>
      </c>
      <c r="G862" s="22"/>
      <c r="H862" s="21"/>
      <c r="I862" s="9"/>
      <c r="J862" s="9"/>
      <c r="K862" s="22">
        <f>SUM(R858:R861)</f>
        <v>4911.09</v>
      </c>
      <c r="L862" s="22"/>
    </row>
    <row r="863" spans="1:22" ht="14.25" x14ac:dyDescent="0.2">
      <c r="A863" s="19"/>
      <c r="B863" s="19"/>
      <c r="C863" s="19"/>
      <c r="D863" s="19" t="s">
        <v>503</v>
      </c>
      <c r="E863" s="20" t="s">
        <v>502</v>
      </c>
      <c r="F863" s="9">
        <f>Source!AU664</f>
        <v>10</v>
      </c>
      <c r="G863" s="22"/>
      <c r="H863" s="21"/>
      <c r="I863" s="9"/>
      <c r="J863" s="9"/>
      <c r="K863" s="22">
        <f>SUM(T858:T862)</f>
        <v>701.58</v>
      </c>
      <c r="L863" s="22"/>
    </row>
    <row r="864" spans="1:22" ht="14.25" x14ac:dyDescent="0.2">
      <c r="A864" s="19"/>
      <c r="B864" s="19"/>
      <c r="C864" s="19"/>
      <c r="D864" s="19" t="s">
        <v>504</v>
      </c>
      <c r="E864" s="20" t="s">
        <v>505</v>
      </c>
      <c r="F864" s="9">
        <f>Source!AQ664</f>
        <v>0.3</v>
      </c>
      <c r="G864" s="22"/>
      <c r="H864" s="21" t="str">
        <f>Source!DI664</f>
        <v>)*1,04</v>
      </c>
      <c r="I864" s="9">
        <f>Source!AV664</f>
        <v>1</v>
      </c>
      <c r="J864" s="9"/>
      <c r="K864" s="22"/>
      <c r="L864" s="22">
        <f>Source!U664</f>
        <v>12.48</v>
      </c>
    </row>
    <row r="865" spans="1:22" ht="15" x14ac:dyDescent="0.25">
      <c r="A865" s="25"/>
      <c r="B865" s="25"/>
      <c r="C865" s="25"/>
      <c r="D865" s="25"/>
      <c r="E865" s="25"/>
      <c r="F865" s="25"/>
      <c r="G865" s="25"/>
      <c r="H865" s="25"/>
      <c r="I865" s="25"/>
      <c r="J865" s="52">
        <f>K860+K861+K862+K863</f>
        <v>12653.710000000001</v>
      </c>
      <c r="K865" s="52"/>
      <c r="L865" s="26">
        <f>IF(Source!I664&lt;&gt;0, ROUND(J865/Source!I664, 2), 0)</f>
        <v>316.33999999999997</v>
      </c>
      <c r="P865" s="24">
        <f>J865</f>
        <v>12653.710000000001</v>
      </c>
    </row>
    <row r="867" spans="1:22" ht="15" x14ac:dyDescent="0.25">
      <c r="C867" s="55" t="str">
        <f>Source!G665</f>
        <v>Электроустановочные изделия</v>
      </c>
      <c r="D867" s="55"/>
      <c r="E867" s="55"/>
      <c r="F867" s="55"/>
      <c r="G867" s="55"/>
      <c r="H867" s="55"/>
      <c r="I867" s="55"/>
      <c r="J867" s="55"/>
      <c r="K867" s="55"/>
    </row>
    <row r="868" spans="1:22" ht="57" x14ac:dyDescent="0.2">
      <c r="A868" s="19">
        <v>85</v>
      </c>
      <c r="B868" s="19">
        <v>85</v>
      </c>
      <c r="C868" s="19" t="str">
        <f>Source!F666</f>
        <v>1.23-2103-6-1/1</v>
      </c>
      <c r="D868" s="19" t="str">
        <f>Source!G666</f>
        <v>Техническое обслуживание выключателей поплавковых / Выключатель одноклавишный Ном. ток 10 А. Ном. напр.: 250 В.</v>
      </c>
      <c r="E868" s="20" t="str">
        <f>Source!H666</f>
        <v>100 шт.</v>
      </c>
      <c r="F868" s="9">
        <f>Source!I666</f>
        <v>1.6</v>
      </c>
      <c r="G868" s="22"/>
      <c r="H868" s="21"/>
      <c r="I868" s="9"/>
      <c r="J868" s="9"/>
      <c r="K868" s="22"/>
      <c r="L868" s="22"/>
      <c r="Q868">
        <f>ROUND((Source!BZ666/100)*ROUND((Source!AF666*Source!AV666)*Source!I666, 2), 2)</f>
        <v>14389.27</v>
      </c>
      <c r="R868">
        <f>Source!X666</f>
        <v>14389.27</v>
      </c>
      <c r="S868">
        <f>ROUND((Source!CA666/100)*ROUND((Source!AF666*Source!AV666)*Source!I666, 2), 2)</f>
        <v>2055.61</v>
      </c>
      <c r="T868">
        <f>Source!Y666</f>
        <v>2055.61</v>
      </c>
      <c r="U868">
        <f>ROUND((175/100)*ROUND((Source!AE666*Source!AV666)*Source!I666, 2), 2)</f>
        <v>6477.42</v>
      </c>
      <c r="V868">
        <f>ROUND((108/100)*ROUND(Source!CS666*Source!I666, 2), 2)</f>
        <v>3997.49</v>
      </c>
    </row>
    <row r="869" spans="1:22" x14ac:dyDescent="0.2">
      <c r="D869" s="23" t="str">
        <f>"Объем: "&amp;Source!I666&amp;"=(10+"&amp;"6)*"&amp;"10/"&amp;"100"</f>
        <v>Объем: 1,6=(10+6)*10/100</v>
      </c>
    </row>
    <row r="870" spans="1:22" ht="14.25" x14ac:dyDescent="0.2">
      <c r="A870" s="19"/>
      <c r="B870" s="19"/>
      <c r="C870" s="19"/>
      <c r="D870" s="19" t="s">
        <v>500</v>
      </c>
      <c r="E870" s="20"/>
      <c r="F870" s="9"/>
      <c r="G870" s="22">
        <f>Source!AO666</f>
        <v>3211.89</v>
      </c>
      <c r="H870" s="21" t="str">
        <f>Source!DG666</f>
        <v>)*4</v>
      </c>
      <c r="I870" s="9">
        <f>Source!AV666</f>
        <v>1</v>
      </c>
      <c r="J870" s="9">
        <f>IF(Source!BA666&lt;&gt; 0, Source!BA666, 1)</f>
        <v>1</v>
      </c>
      <c r="K870" s="22">
        <f>Source!S666</f>
        <v>20556.099999999999</v>
      </c>
      <c r="L870" s="22"/>
    </row>
    <row r="871" spans="1:22" ht="14.25" x14ac:dyDescent="0.2">
      <c r="A871" s="19"/>
      <c r="B871" s="19"/>
      <c r="C871" s="19"/>
      <c r="D871" s="19" t="s">
        <v>506</v>
      </c>
      <c r="E871" s="20"/>
      <c r="F871" s="9"/>
      <c r="G871" s="22">
        <f>Source!AM666</f>
        <v>912.11</v>
      </c>
      <c r="H871" s="21" t="str">
        <f>Source!DE666</f>
        <v>)*4</v>
      </c>
      <c r="I871" s="9">
        <f>Source!AV666</f>
        <v>1</v>
      </c>
      <c r="J871" s="9">
        <f>IF(Source!BB666&lt;&gt; 0, Source!BB666, 1)</f>
        <v>1</v>
      </c>
      <c r="K871" s="22">
        <f>Source!Q666</f>
        <v>5837.5</v>
      </c>
      <c r="L871" s="22"/>
    </row>
    <row r="872" spans="1:22" ht="14.25" x14ac:dyDescent="0.2">
      <c r="A872" s="19"/>
      <c r="B872" s="19"/>
      <c r="C872" s="19"/>
      <c r="D872" s="19" t="s">
        <v>507</v>
      </c>
      <c r="E872" s="20"/>
      <c r="F872" s="9"/>
      <c r="G872" s="22">
        <f>Source!AN666</f>
        <v>578.34</v>
      </c>
      <c r="H872" s="21" t="str">
        <f>Source!DF666</f>
        <v>)*4</v>
      </c>
      <c r="I872" s="9">
        <f>Source!AV666</f>
        <v>1</v>
      </c>
      <c r="J872" s="9">
        <f>IF(Source!BS666&lt;&gt; 0, Source!BS666, 1)</f>
        <v>1</v>
      </c>
      <c r="K872" s="27">
        <f>Source!R666</f>
        <v>3701.38</v>
      </c>
      <c r="L872" s="22"/>
    </row>
    <row r="873" spans="1:22" ht="14.25" x14ac:dyDescent="0.2">
      <c r="A873" s="19"/>
      <c r="B873" s="19"/>
      <c r="C873" s="19"/>
      <c r="D873" s="19" t="s">
        <v>508</v>
      </c>
      <c r="E873" s="20"/>
      <c r="F873" s="9"/>
      <c r="G873" s="22">
        <f>Source!AL666</f>
        <v>0.94</v>
      </c>
      <c r="H873" s="21" t="str">
        <f>Source!DD666</f>
        <v>)*4</v>
      </c>
      <c r="I873" s="9">
        <f>Source!AW666</f>
        <v>1</v>
      </c>
      <c r="J873" s="9">
        <f>IF(Source!BC666&lt;&gt; 0, Source!BC666, 1)</f>
        <v>1</v>
      </c>
      <c r="K873" s="22">
        <f>Source!P666</f>
        <v>6.02</v>
      </c>
      <c r="L873" s="22"/>
    </row>
    <row r="874" spans="1:22" ht="14.25" x14ac:dyDescent="0.2">
      <c r="A874" s="19"/>
      <c r="B874" s="19"/>
      <c r="C874" s="19"/>
      <c r="D874" s="19" t="s">
        <v>501</v>
      </c>
      <c r="E874" s="20" t="s">
        <v>502</v>
      </c>
      <c r="F874" s="9">
        <f>Source!AT666</f>
        <v>70</v>
      </c>
      <c r="G874" s="22"/>
      <c r="H874" s="21"/>
      <c r="I874" s="9"/>
      <c r="J874" s="9"/>
      <c r="K874" s="22">
        <f>SUM(R868:R873)</f>
        <v>14389.27</v>
      </c>
      <c r="L874" s="22"/>
    </row>
    <row r="875" spans="1:22" ht="14.25" x14ac:dyDescent="0.2">
      <c r="A875" s="19"/>
      <c r="B875" s="19"/>
      <c r="C875" s="19"/>
      <c r="D875" s="19" t="s">
        <v>503</v>
      </c>
      <c r="E875" s="20" t="s">
        <v>502</v>
      </c>
      <c r="F875" s="9">
        <f>Source!AU666</f>
        <v>10</v>
      </c>
      <c r="G875" s="22"/>
      <c r="H875" s="21"/>
      <c r="I875" s="9"/>
      <c r="J875" s="9"/>
      <c r="K875" s="22">
        <f>SUM(T868:T874)</f>
        <v>2055.61</v>
      </c>
      <c r="L875" s="22"/>
    </row>
    <row r="876" spans="1:22" ht="14.25" x14ac:dyDescent="0.2">
      <c r="A876" s="19"/>
      <c r="B876" s="19"/>
      <c r="C876" s="19"/>
      <c r="D876" s="19" t="s">
        <v>509</v>
      </c>
      <c r="E876" s="20" t="s">
        <v>502</v>
      </c>
      <c r="F876" s="9">
        <f>108</f>
        <v>108</v>
      </c>
      <c r="G876" s="22"/>
      <c r="H876" s="21"/>
      <c r="I876" s="9"/>
      <c r="J876" s="9"/>
      <c r="K876" s="22">
        <f>SUM(V868:V875)</f>
        <v>3997.49</v>
      </c>
      <c r="L876" s="22"/>
    </row>
    <row r="877" spans="1:22" ht="14.25" x14ac:dyDescent="0.2">
      <c r="A877" s="19"/>
      <c r="B877" s="19"/>
      <c r="C877" s="19"/>
      <c r="D877" s="19" t="s">
        <v>504</v>
      </c>
      <c r="E877" s="20" t="s">
        <v>505</v>
      </c>
      <c r="F877" s="9">
        <f>Source!AQ666</f>
        <v>6</v>
      </c>
      <c r="G877" s="22"/>
      <c r="H877" s="21" t="str">
        <f>Source!DI666</f>
        <v>)*4</v>
      </c>
      <c r="I877" s="9">
        <f>Source!AV666</f>
        <v>1</v>
      </c>
      <c r="J877" s="9"/>
      <c r="K877" s="22"/>
      <c r="L877" s="22">
        <f>Source!U666</f>
        <v>38.400000000000006</v>
      </c>
    </row>
    <row r="878" spans="1:22" ht="15" x14ac:dyDescent="0.25">
      <c r="A878" s="25"/>
      <c r="B878" s="25"/>
      <c r="C878" s="25"/>
      <c r="D878" s="25"/>
      <c r="E878" s="25"/>
      <c r="F878" s="25"/>
      <c r="G878" s="25"/>
      <c r="H878" s="25"/>
      <c r="I878" s="25"/>
      <c r="J878" s="52">
        <f>K870+K871+K873+K874+K875+K876</f>
        <v>46841.99</v>
      </c>
      <c r="K878" s="52"/>
      <c r="L878" s="26">
        <f>IF(Source!I666&lt;&gt;0, ROUND(J878/Source!I666, 2), 0)</f>
        <v>29276.240000000002</v>
      </c>
      <c r="P878" s="24">
        <f>J878</f>
        <v>46841.99</v>
      </c>
    </row>
    <row r="879" spans="1:22" ht="71.25" x14ac:dyDescent="0.2">
      <c r="A879" s="19">
        <v>86</v>
      </c>
      <c r="B879" s="19">
        <v>86</v>
      </c>
      <c r="C879" s="19" t="str">
        <f>Source!F668</f>
        <v>1.21-2303-37-1/1</v>
      </c>
      <c r="D879" s="19" t="str">
        <f>Source!G668</f>
        <v>Техническое обслуживание накладной штепсельной силовой розетки с винтовыми зажимами, заземляющим контактом, степень защиты IP20, IP21, IP22 - полугодовое</v>
      </c>
      <c r="E879" s="20" t="str">
        <f>Source!H668</f>
        <v>10 шт.</v>
      </c>
      <c r="F879" s="9">
        <f>Source!I668</f>
        <v>37</v>
      </c>
      <c r="G879" s="22"/>
      <c r="H879" s="21"/>
      <c r="I879" s="9"/>
      <c r="J879" s="9"/>
      <c r="K879" s="22"/>
      <c r="L879" s="22"/>
      <c r="Q879">
        <f>ROUND((Source!BZ668/100)*ROUND((Source!AF668*Source!AV668)*Source!I668, 2), 2)</f>
        <v>2878.79</v>
      </c>
      <c r="R879">
        <f>Source!X668</f>
        <v>2878.79</v>
      </c>
      <c r="S879">
        <f>ROUND((Source!CA668/100)*ROUND((Source!AF668*Source!AV668)*Source!I668, 2), 2)</f>
        <v>411.26</v>
      </c>
      <c r="T879">
        <f>Source!Y668</f>
        <v>411.26</v>
      </c>
      <c r="U879">
        <f>ROUND((175/100)*ROUND((Source!AE668*Source!AV668)*Source!I668, 2), 2)</f>
        <v>0</v>
      </c>
      <c r="V879">
        <f>ROUND((108/100)*ROUND(Source!CS668*Source!I668, 2), 2)</f>
        <v>0</v>
      </c>
    </row>
    <row r="880" spans="1:22" x14ac:dyDescent="0.2">
      <c r="D880" s="23" t="str">
        <f>"Объем: "&amp;Source!I668&amp;"=(7+"&amp;"30)*"&amp;"10/"&amp;"10"</f>
        <v>Объем: 37=(7+30)*10/10</v>
      </c>
    </row>
    <row r="881" spans="1:22" ht="14.25" x14ac:dyDescent="0.2">
      <c r="A881" s="19"/>
      <c r="B881" s="19"/>
      <c r="C881" s="19"/>
      <c r="D881" s="19" t="s">
        <v>500</v>
      </c>
      <c r="E881" s="20"/>
      <c r="F881" s="9"/>
      <c r="G881" s="22">
        <f>Source!AO668</f>
        <v>111.15</v>
      </c>
      <c r="H881" s="21" t="str">
        <f>Source!DG668</f>
        <v/>
      </c>
      <c r="I881" s="9">
        <f>Source!AV668</f>
        <v>1</v>
      </c>
      <c r="J881" s="9">
        <f>IF(Source!BA668&lt;&gt; 0, Source!BA668, 1)</f>
        <v>1</v>
      </c>
      <c r="K881" s="22">
        <f>Source!S668</f>
        <v>4112.55</v>
      </c>
      <c r="L881" s="22"/>
    </row>
    <row r="882" spans="1:22" ht="14.25" x14ac:dyDescent="0.2">
      <c r="A882" s="19"/>
      <c r="B882" s="19"/>
      <c r="C882" s="19"/>
      <c r="D882" s="19" t="s">
        <v>508</v>
      </c>
      <c r="E882" s="20"/>
      <c r="F882" s="9"/>
      <c r="G882" s="22">
        <f>Source!AL668</f>
        <v>6.3</v>
      </c>
      <c r="H882" s="21" t="str">
        <f>Source!DD668</f>
        <v/>
      </c>
      <c r="I882" s="9">
        <f>Source!AW668</f>
        <v>1</v>
      </c>
      <c r="J882" s="9">
        <f>IF(Source!BC668&lt;&gt; 0, Source!BC668, 1)</f>
        <v>1</v>
      </c>
      <c r="K882" s="22">
        <f>Source!P668</f>
        <v>233.1</v>
      </c>
      <c r="L882" s="22"/>
    </row>
    <row r="883" spans="1:22" ht="14.25" x14ac:dyDescent="0.2">
      <c r="A883" s="19"/>
      <c r="B883" s="19"/>
      <c r="C883" s="19"/>
      <c r="D883" s="19" t="s">
        <v>501</v>
      </c>
      <c r="E883" s="20" t="s">
        <v>502</v>
      </c>
      <c r="F883" s="9">
        <f>Source!AT668</f>
        <v>70</v>
      </c>
      <c r="G883" s="22"/>
      <c r="H883" s="21"/>
      <c r="I883" s="9"/>
      <c r="J883" s="9"/>
      <c r="K883" s="22">
        <f>SUM(R879:R882)</f>
        <v>2878.79</v>
      </c>
      <c r="L883" s="22"/>
    </row>
    <row r="884" spans="1:22" ht="14.25" x14ac:dyDescent="0.2">
      <c r="A884" s="19"/>
      <c r="B884" s="19"/>
      <c r="C884" s="19"/>
      <c r="D884" s="19" t="s">
        <v>503</v>
      </c>
      <c r="E884" s="20" t="s">
        <v>502</v>
      </c>
      <c r="F884" s="9">
        <f>Source!AU668</f>
        <v>10</v>
      </c>
      <c r="G884" s="22"/>
      <c r="H884" s="21"/>
      <c r="I884" s="9"/>
      <c r="J884" s="9"/>
      <c r="K884" s="22">
        <f>SUM(T879:T883)</f>
        <v>411.26</v>
      </c>
      <c r="L884" s="22"/>
    </row>
    <row r="885" spans="1:22" ht="14.25" x14ac:dyDescent="0.2">
      <c r="A885" s="19"/>
      <c r="B885" s="19"/>
      <c r="C885" s="19"/>
      <c r="D885" s="19" t="s">
        <v>504</v>
      </c>
      <c r="E885" s="20" t="s">
        <v>505</v>
      </c>
      <c r="F885" s="9">
        <f>Source!AQ668</f>
        <v>0.18</v>
      </c>
      <c r="G885" s="22"/>
      <c r="H885" s="21" t="str">
        <f>Source!DI668</f>
        <v/>
      </c>
      <c r="I885" s="9">
        <f>Source!AV668</f>
        <v>1</v>
      </c>
      <c r="J885" s="9"/>
      <c r="K885" s="22"/>
      <c r="L885" s="22">
        <f>Source!U668</f>
        <v>6.66</v>
      </c>
    </row>
    <row r="886" spans="1:22" ht="15" x14ac:dyDescent="0.25">
      <c r="A886" s="25"/>
      <c r="B886" s="25"/>
      <c r="C886" s="25"/>
      <c r="D886" s="25"/>
      <c r="E886" s="25"/>
      <c r="F886" s="25"/>
      <c r="G886" s="25"/>
      <c r="H886" s="25"/>
      <c r="I886" s="25"/>
      <c r="J886" s="52">
        <f>K881+K882+K883+K884</f>
        <v>7635.7000000000007</v>
      </c>
      <c r="K886" s="52"/>
      <c r="L886" s="26">
        <f>IF(Source!I668&lt;&gt;0, ROUND(J886/Source!I668, 2), 0)</f>
        <v>206.37</v>
      </c>
      <c r="P886" s="24">
        <f>J886</f>
        <v>7635.7000000000007</v>
      </c>
    </row>
    <row r="887" spans="1:22" ht="71.25" x14ac:dyDescent="0.2">
      <c r="A887" s="19">
        <v>87</v>
      </c>
      <c r="B887" s="19">
        <v>87</v>
      </c>
      <c r="C887" s="19" t="str">
        <f>Source!F670</f>
        <v>1.20-2103-20-1/1</v>
      </c>
      <c r="D887" s="19" t="str">
        <f>Source!G670</f>
        <v>Техническое обслуживание датчика движения инфракрасного, встраиваемого в подвесной потолок, для управления освещением - ежемесячное</v>
      </c>
      <c r="E887" s="20" t="str">
        <f>Source!H670</f>
        <v>шт.</v>
      </c>
      <c r="F887" s="9">
        <f>Source!I670</f>
        <v>10</v>
      </c>
      <c r="G887" s="22"/>
      <c r="H887" s="21"/>
      <c r="I887" s="9"/>
      <c r="J887" s="9"/>
      <c r="K887" s="22"/>
      <c r="L887" s="22"/>
      <c r="Q887">
        <f>ROUND((Source!BZ670/100)*ROUND((Source!AF670*Source!AV670)*Source!I670, 2), 2)</f>
        <v>4092.48</v>
      </c>
      <c r="R887">
        <f>Source!X670</f>
        <v>4092.48</v>
      </c>
      <c r="S887">
        <f>ROUND((Source!CA670/100)*ROUND((Source!AF670*Source!AV670)*Source!I670, 2), 2)</f>
        <v>584.64</v>
      </c>
      <c r="T887">
        <f>Source!Y670</f>
        <v>584.64</v>
      </c>
      <c r="U887">
        <f>ROUND((175/100)*ROUND((Source!AE670*Source!AV670)*Source!I670, 2), 2)</f>
        <v>0</v>
      </c>
      <c r="V887">
        <f>ROUND((108/100)*ROUND(Source!CS670*Source!I670, 2), 2)</f>
        <v>0</v>
      </c>
    </row>
    <row r="888" spans="1:22" x14ac:dyDescent="0.2">
      <c r="D888" s="23" t="str">
        <f>"Объем: "&amp;Source!I670&amp;"=1*"&amp;"10"</f>
        <v>Объем: 10=1*10</v>
      </c>
    </row>
    <row r="889" spans="1:22" ht="14.25" x14ac:dyDescent="0.2">
      <c r="A889" s="19"/>
      <c r="B889" s="19"/>
      <c r="C889" s="19"/>
      <c r="D889" s="19" t="s">
        <v>500</v>
      </c>
      <c r="E889" s="20"/>
      <c r="F889" s="9"/>
      <c r="G889" s="22">
        <f>Source!AO670</f>
        <v>146.16</v>
      </c>
      <c r="H889" s="21" t="str">
        <f>Source!DG670</f>
        <v>)*4</v>
      </c>
      <c r="I889" s="9">
        <f>Source!AV670</f>
        <v>1</v>
      </c>
      <c r="J889" s="9">
        <f>IF(Source!BA670&lt;&gt; 0, Source!BA670, 1)</f>
        <v>1</v>
      </c>
      <c r="K889" s="22">
        <f>Source!S670</f>
        <v>5846.4</v>
      </c>
      <c r="L889" s="22"/>
    </row>
    <row r="890" spans="1:22" ht="14.25" x14ac:dyDescent="0.2">
      <c r="A890" s="19"/>
      <c r="B890" s="19"/>
      <c r="C890" s="19"/>
      <c r="D890" s="19" t="s">
        <v>508</v>
      </c>
      <c r="E890" s="20"/>
      <c r="F890" s="9"/>
      <c r="G890" s="22">
        <f>Source!AL670</f>
        <v>1.26</v>
      </c>
      <c r="H890" s="21" t="str">
        <f>Source!DD670</f>
        <v>)*4</v>
      </c>
      <c r="I890" s="9">
        <f>Source!AW670</f>
        <v>1</v>
      </c>
      <c r="J890" s="9">
        <f>IF(Source!BC670&lt;&gt; 0, Source!BC670, 1)</f>
        <v>1</v>
      </c>
      <c r="K890" s="22">
        <f>Source!P670</f>
        <v>50.4</v>
      </c>
      <c r="L890" s="22"/>
    </row>
    <row r="891" spans="1:22" ht="14.25" x14ac:dyDescent="0.2">
      <c r="A891" s="19"/>
      <c r="B891" s="19"/>
      <c r="C891" s="19"/>
      <c r="D891" s="19" t="s">
        <v>501</v>
      </c>
      <c r="E891" s="20" t="s">
        <v>502</v>
      </c>
      <c r="F891" s="9">
        <f>Source!AT670</f>
        <v>70</v>
      </c>
      <c r="G891" s="22"/>
      <c r="H891" s="21"/>
      <c r="I891" s="9"/>
      <c r="J891" s="9"/>
      <c r="K891" s="22">
        <f>SUM(R887:R890)</f>
        <v>4092.48</v>
      </c>
      <c r="L891" s="22"/>
    </row>
    <row r="892" spans="1:22" ht="14.25" x14ac:dyDescent="0.2">
      <c r="A892" s="19"/>
      <c r="B892" s="19"/>
      <c r="C892" s="19"/>
      <c r="D892" s="19" t="s">
        <v>503</v>
      </c>
      <c r="E892" s="20" t="s">
        <v>502</v>
      </c>
      <c r="F892" s="9">
        <f>Source!AU670</f>
        <v>10</v>
      </c>
      <c r="G892" s="22"/>
      <c r="H892" s="21"/>
      <c r="I892" s="9"/>
      <c r="J892" s="9"/>
      <c r="K892" s="22">
        <f>SUM(T887:T891)</f>
        <v>584.64</v>
      </c>
      <c r="L892" s="22"/>
    </row>
    <row r="893" spans="1:22" ht="14.25" x14ac:dyDescent="0.2">
      <c r="A893" s="19"/>
      <c r="B893" s="19"/>
      <c r="C893" s="19"/>
      <c r="D893" s="19" t="s">
        <v>504</v>
      </c>
      <c r="E893" s="20" t="s">
        <v>505</v>
      </c>
      <c r="F893" s="9">
        <f>Source!AQ670</f>
        <v>0.26</v>
      </c>
      <c r="G893" s="22"/>
      <c r="H893" s="21" t="str">
        <f>Source!DI670</f>
        <v>)*4</v>
      </c>
      <c r="I893" s="9">
        <f>Source!AV670</f>
        <v>1</v>
      </c>
      <c r="J893" s="9"/>
      <c r="K893" s="22"/>
      <c r="L893" s="22">
        <f>Source!U670</f>
        <v>10.4</v>
      </c>
    </row>
    <row r="894" spans="1:22" ht="15" x14ac:dyDescent="0.25">
      <c r="A894" s="25"/>
      <c r="B894" s="25"/>
      <c r="C894" s="25"/>
      <c r="D894" s="25"/>
      <c r="E894" s="25"/>
      <c r="F894" s="25"/>
      <c r="G894" s="25"/>
      <c r="H894" s="25"/>
      <c r="I894" s="25"/>
      <c r="J894" s="52">
        <f>K889+K890+K891+K892</f>
        <v>10573.919999999998</v>
      </c>
      <c r="K894" s="52"/>
      <c r="L894" s="26">
        <f>IF(Source!I670&lt;&gt;0, ROUND(J894/Source!I670, 2), 0)</f>
        <v>1057.3900000000001</v>
      </c>
      <c r="P894" s="24">
        <f>J894</f>
        <v>10573.919999999998</v>
      </c>
    </row>
    <row r="896" spans="1:22" ht="15" x14ac:dyDescent="0.25">
      <c r="C896" s="55" t="str">
        <f>Source!G674</f>
        <v>Кабели и провода</v>
      </c>
      <c r="D896" s="55"/>
      <c r="E896" s="55"/>
      <c r="F896" s="55"/>
      <c r="G896" s="55"/>
      <c r="H896" s="55"/>
      <c r="I896" s="55"/>
      <c r="J896" s="55"/>
      <c r="K896" s="55"/>
    </row>
    <row r="897" spans="1:22" ht="57" x14ac:dyDescent="0.2">
      <c r="A897" s="19">
        <v>88</v>
      </c>
      <c r="B897" s="19">
        <v>88</v>
      </c>
      <c r="C897" s="19" t="str">
        <f>Source!F675</f>
        <v>1.21-2103-9-2/1</v>
      </c>
      <c r="D897" s="19" t="str">
        <f>Source!G675</f>
        <v>Техническое обслуживание силовых сетей, проложенных по кирпичным и бетонным основаниям, провод сечением 3х1,5-6 мм2 / прим. 3х2,5</v>
      </c>
      <c r="E897" s="20" t="str">
        <f>Source!H675</f>
        <v>100 м</v>
      </c>
      <c r="F897" s="9">
        <f>Source!I675</f>
        <v>0.52200000000000002</v>
      </c>
      <c r="G897" s="22"/>
      <c r="H897" s="21"/>
      <c r="I897" s="9"/>
      <c r="J897" s="9"/>
      <c r="K897" s="22"/>
      <c r="L897" s="22"/>
      <c r="Q897">
        <f>ROUND((Source!BZ675/100)*ROUND((Source!AF675*Source!AV675)*Source!I675, 2), 2)</f>
        <v>1956.04</v>
      </c>
      <c r="R897">
        <f>Source!X675</f>
        <v>1956.04</v>
      </c>
      <c r="S897">
        <f>ROUND((Source!CA675/100)*ROUND((Source!AF675*Source!AV675)*Source!I675, 2), 2)</f>
        <v>279.43</v>
      </c>
      <c r="T897">
        <f>Source!Y675</f>
        <v>279.43</v>
      </c>
      <c r="U897">
        <f>ROUND((175/100)*ROUND((Source!AE675*Source!AV675)*Source!I675, 2), 2)</f>
        <v>0</v>
      </c>
      <c r="V897">
        <f>ROUND((108/100)*ROUND(Source!CS675*Source!I675, 2), 2)</f>
        <v>0</v>
      </c>
    </row>
    <row r="898" spans="1:22" x14ac:dyDescent="0.2">
      <c r="D898" s="23" t="str">
        <f>"Объем: "&amp;Source!I675&amp;"=(261*"&amp;"10)*"&amp;"0,2*"&amp;"0,1/"&amp;"100"</f>
        <v>Объем: 0,522=(261*10)*0,2*0,1/100</v>
      </c>
    </row>
    <row r="899" spans="1:22" ht="14.25" x14ac:dyDescent="0.2">
      <c r="A899" s="19"/>
      <c r="B899" s="19"/>
      <c r="C899" s="19"/>
      <c r="D899" s="19" t="s">
        <v>500</v>
      </c>
      <c r="E899" s="20"/>
      <c r="F899" s="9"/>
      <c r="G899" s="22">
        <f>Source!AO675</f>
        <v>5353.15</v>
      </c>
      <c r="H899" s="21" t="str">
        <f>Source!DG675</f>
        <v/>
      </c>
      <c r="I899" s="9">
        <f>Source!AV675</f>
        <v>1</v>
      </c>
      <c r="J899" s="9">
        <f>IF(Source!BA675&lt;&gt; 0, Source!BA675, 1)</f>
        <v>1</v>
      </c>
      <c r="K899" s="22">
        <f>Source!S675</f>
        <v>2794.34</v>
      </c>
      <c r="L899" s="22"/>
    </row>
    <row r="900" spans="1:22" ht="14.25" x14ac:dyDescent="0.2">
      <c r="A900" s="19"/>
      <c r="B900" s="19"/>
      <c r="C900" s="19"/>
      <c r="D900" s="19" t="s">
        <v>508</v>
      </c>
      <c r="E900" s="20"/>
      <c r="F900" s="9"/>
      <c r="G900" s="22">
        <f>Source!AL675</f>
        <v>22.51</v>
      </c>
      <c r="H900" s="21" t="str">
        <f>Source!DD675</f>
        <v/>
      </c>
      <c r="I900" s="9">
        <f>Source!AW675</f>
        <v>1</v>
      </c>
      <c r="J900" s="9">
        <f>IF(Source!BC675&lt;&gt; 0, Source!BC675, 1)</f>
        <v>1</v>
      </c>
      <c r="K900" s="22">
        <f>Source!P675</f>
        <v>11.75</v>
      </c>
      <c r="L900" s="22"/>
    </row>
    <row r="901" spans="1:22" ht="14.25" x14ac:dyDescent="0.2">
      <c r="A901" s="19"/>
      <c r="B901" s="19"/>
      <c r="C901" s="19"/>
      <c r="D901" s="19" t="s">
        <v>501</v>
      </c>
      <c r="E901" s="20" t="s">
        <v>502</v>
      </c>
      <c r="F901" s="9">
        <f>Source!AT675</f>
        <v>70</v>
      </c>
      <c r="G901" s="22"/>
      <c r="H901" s="21"/>
      <c r="I901" s="9"/>
      <c r="J901" s="9"/>
      <c r="K901" s="22">
        <f>SUM(R897:R900)</f>
        <v>1956.04</v>
      </c>
      <c r="L901" s="22"/>
    </row>
    <row r="902" spans="1:22" ht="14.25" x14ac:dyDescent="0.2">
      <c r="A902" s="19"/>
      <c r="B902" s="19"/>
      <c r="C902" s="19"/>
      <c r="D902" s="19" t="s">
        <v>503</v>
      </c>
      <c r="E902" s="20" t="s">
        <v>502</v>
      </c>
      <c r="F902" s="9">
        <f>Source!AU675</f>
        <v>10</v>
      </c>
      <c r="G902" s="22"/>
      <c r="H902" s="21"/>
      <c r="I902" s="9"/>
      <c r="J902" s="9"/>
      <c r="K902" s="22">
        <f>SUM(T897:T901)</f>
        <v>279.43</v>
      </c>
      <c r="L902" s="22"/>
    </row>
    <row r="903" spans="1:22" ht="14.25" x14ac:dyDescent="0.2">
      <c r="A903" s="19"/>
      <c r="B903" s="19"/>
      <c r="C903" s="19"/>
      <c r="D903" s="19" t="s">
        <v>504</v>
      </c>
      <c r="E903" s="20" t="s">
        <v>505</v>
      </c>
      <c r="F903" s="9">
        <f>Source!AQ675</f>
        <v>10</v>
      </c>
      <c r="G903" s="22"/>
      <c r="H903" s="21" t="str">
        <f>Source!DI675</f>
        <v/>
      </c>
      <c r="I903" s="9">
        <f>Source!AV675</f>
        <v>1</v>
      </c>
      <c r="J903" s="9"/>
      <c r="K903" s="22"/>
      <c r="L903" s="22">
        <f>Source!U675</f>
        <v>5.2200000000000006</v>
      </c>
    </row>
    <row r="904" spans="1:22" ht="15" x14ac:dyDescent="0.25">
      <c r="A904" s="25"/>
      <c r="B904" s="25"/>
      <c r="C904" s="25"/>
      <c r="D904" s="25"/>
      <c r="E904" s="25"/>
      <c r="F904" s="25"/>
      <c r="G904" s="25"/>
      <c r="H904" s="25"/>
      <c r="I904" s="25"/>
      <c r="J904" s="52">
        <f>K899+K900+K901+K902</f>
        <v>5041.5600000000004</v>
      </c>
      <c r="K904" s="52"/>
      <c r="L904" s="26">
        <f>IF(Source!I675&lt;&gt;0, ROUND(J904/Source!I675, 2), 0)</f>
        <v>9658.16</v>
      </c>
      <c r="P904" s="24">
        <f>J904</f>
        <v>5041.5600000000004</v>
      </c>
    </row>
    <row r="905" spans="1:22" ht="57" x14ac:dyDescent="0.2">
      <c r="A905" s="19">
        <v>89</v>
      </c>
      <c r="B905" s="19">
        <v>89</v>
      </c>
      <c r="C905" s="19" t="str">
        <f>Source!F677</f>
        <v>1.21-2103-9-2/1</v>
      </c>
      <c r="D905" s="19" t="str">
        <f>Source!G677</f>
        <v>Техническое обслуживание силовых сетей, проложенных по кирпичным и бетонным основаниям, провод сечением 3х1,5-6 мм2</v>
      </c>
      <c r="E905" s="20" t="str">
        <f>Source!H677</f>
        <v>100 м</v>
      </c>
      <c r="F905" s="9">
        <f>Source!I677</f>
        <v>0.49</v>
      </c>
      <c r="G905" s="22"/>
      <c r="H905" s="21"/>
      <c r="I905" s="9"/>
      <c r="J905" s="9"/>
      <c r="K905" s="22"/>
      <c r="L905" s="22"/>
      <c r="Q905">
        <f>ROUND((Source!BZ677/100)*ROUND((Source!AF677*Source!AV677)*Source!I677, 2), 2)</f>
        <v>1836.13</v>
      </c>
      <c r="R905">
        <f>Source!X677</f>
        <v>1836.13</v>
      </c>
      <c r="S905">
        <f>ROUND((Source!CA677/100)*ROUND((Source!AF677*Source!AV677)*Source!I677, 2), 2)</f>
        <v>262.3</v>
      </c>
      <c r="T905">
        <f>Source!Y677</f>
        <v>262.3</v>
      </c>
      <c r="U905">
        <f>ROUND((175/100)*ROUND((Source!AE677*Source!AV677)*Source!I677, 2), 2)</f>
        <v>0</v>
      </c>
      <c r="V905">
        <f>ROUND((108/100)*ROUND(Source!CS677*Source!I677, 2), 2)</f>
        <v>0</v>
      </c>
    </row>
    <row r="906" spans="1:22" x14ac:dyDescent="0.2">
      <c r="D906" s="23" t="str">
        <f>"Объем: "&amp;Source!I677&amp;"=(245*"&amp;"10)*"&amp;"0,2*"&amp;"0,1/"&amp;"100"</f>
        <v>Объем: 0,49=(245*10)*0,2*0,1/100</v>
      </c>
    </row>
    <row r="907" spans="1:22" ht="14.25" x14ac:dyDescent="0.2">
      <c r="A907" s="19"/>
      <c r="B907" s="19"/>
      <c r="C907" s="19"/>
      <c r="D907" s="19" t="s">
        <v>500</v>
      </c>
      <c r="E907" s="20"/>
      <c r="F907" s="9"/>
      <c r="G907" s="22">
        <f>Source!AO677</f>
        <v>5353.15</v>
      </c>
      <c r="H907" s="21" t="str">
        <f>Source!DG677</f>
        <v/>
      </c>
      <c r="I907" s="9">
        <f>Source!AV677</f>
        <v>1</v>
      </c>
      <c r="J907" s="9">
        <f>IF(Source!BA677&lt;&gt; 0, Source!BA677, 1)</f>
        <v>1</v>
      </c>
      <c r="K907" s="22">
        <f>Source!S677</f>
        <v>2623.04</v>
      </c>
      <c r="L907" s="22"/>
    </row>
    <row r="908" spans="1:22" ht="14.25" x14ac:dyDescent="0.2">
      <c r="A908" s="19"/>
      <c r="B908" s="19"/>
      <c r="C908" s="19"/>
      <c r="D908" s="19" t="s">
        <v>508</v>
      </c>
      <c r="E908" s="20"/>
      <c r="F908" s="9"/>
      <c r="G908" s="22">
        <f>Source!AL677</f>
        <v>22.51</v>
      </c>
      <c r="H908" s="21" t="str">
        <f>Source!DD677</f>
        <v/>
      </c>
      <c r="I908" s="9">
        <f>Source!AW677</f>
        <v>1</v>
      </c>
      <c r="J908" s="9">
        <f>IF(Source!BC677&lt;&gt; 0, Source!BC677, 1)</f>
        <v>1</v>
      </c>
      <c r="K908" s="22">
        <f>Source!P677</f>
        <v>11.03</v>
      </c>
      <c r="L908" s="22"/>
    </row>
    <row r="909" spans="1:22" ht="14.25" x14ac:dyDescent="0.2">
      <c r="A909" s="19"/>
      <c r="B909" s="19"/>
      <c r="C909" s="19"/>
      <c r="D909" s="19" t="s">
        <v>501</v>
      </c>
      <c r="E909" s="20" t="s">
        <v>502</v>
      </c>
      <c r="F909" s="9">
        <f>Source!AT677</f>
        <v>70</v>
      </c>
      <c r="G909" s="22"/>
      <c r="H909" s="21"/>
      <c r="I909" s="9"/>
      <c r="J909" s="9"/>
      <c r="K909" s="22">
        <f>SUM(R905:R908)</f>
        <v>1836.13</v>
      </c>
      <c r="L909" s="22"/>
    </row>
    <row r="910" spans="1:22" ht="14.25" x14ac:dyDescent="0.2">
      <c r="A910" s="19"/>
      <c r="B910" s="19"/>
      <c r="C910" s="19"/>
      <c r="D910" s="19" t="s">
        <v>503</v>
      </c>
      <c r="E910" s="20" t="s">
        <v>502</v>
      </c>
      <c r="F910" s="9">
        <f>Source!AU677</f>
        <v>10</v>
      </c>
      <c r="G910" s="22"/>
      <c r="H910" s="21"/>
      <c r="I910" s="9"/>
      <c r="J910" s="9"/>
      <c r="K910" s="22">
        <f>SUM(T905:T909)</f>
        <v>262.3</v>
      </c>
      <c r="L910" s="22"/>
    </row>
    <row r="911" spans="1:22" ht="14.25" x14ac:dyDescent="0.2">
      <c r="A911" s="19"/>
      <c r="B911" s="19"/>
      <c r="C911" s="19"/>
      <c r="D911" s="19" t="s">
        <v>504</v>
      </c>
      <c r="E911" s="20" t="s">
        <v>505</v>
      </c>
      <c r="F911" s="9">
        <f>Source!AQ677</f>
        <v>10</v>
      </c>
      <c r="G911" s="22"/>
      <c r="H911" s="21" t="str">
        <f>Source!DI677</f>
        <v/>
      </c>
      <c r="I911" s="9">
        <f>Source!AV677</f>
        <v>1</v>
      </c>
      <c r="J911" s="9"/>
      <c r="K911" s="22"/>
      <c r="L911" s="22">
        <f>Source!U677</f>
        <v>4.9000000000000004</v>
      </c>
    </row>
    <row r="912" spans="1:22" ht="15" x14ac:dyDescent="0.25">
      <c r="A912" s="25"/>
      <c r="B912" s="25"/>
      <c r="C912" s="25"/>
      <c r="D912" s="25"/>
      <c r="E912" s="25"/>
      <c r="F912" s="25"/>
      <c r="G912" s="25"/>
      <c r="H912" s="25"/>
      <c r="I912" s="25"/>
      <c r="J912" s="52">
        <f>K907+K908+K909+K910</f>
        <v>4732.5000000000009</v>
      </c>
      <c r="K912" s="52"/>
      <c r="L912" s="26">
        <f>IF(Source!I677&lt;&gt;0, ROUND(J912/Source!I677, 2), 0)</f>
        <v>9658.16</v>
      </c>
      <c r="P912" s="24">
        <f>J912</f>
        <v>4732.5000000000009</v>
      </c>
    </row>
    <row r="914" spans="1:32" ht="15" x14ac:dyDescent="0.25">
      <c r="C914" s="55" t="str">
        <f>Source!G681</f>
        <v>Прочее оборудование</v>
      </c>
      <c r="D914" s="55"/>
      <c r="E914" s="55"/>
      <c r="F914" s="55"/>
      <c r="G914" s="55"/>
      <c r="H914" s="55"/>
      <c r="I914" s="55"/>
      <c r="J914" s="55"/>
      <c r="K914" s="55"/>
    </row>
    <row r="915" spans="1:32" ht="57" x14ac:dyDescent="0.2">
      <c r="A915" s="19">
        <v>90</v>
      </c>
      <c r="B915" s="19">
        <v>90</v>
      </c>
      <c r="C915" s="19" t="str">
        <f>Source!F682</f>
        <v>1.21-2103-9-2/1</v>
      </c>
      <c r="D915" s="19" t="str">
        <f>Source!G682</f>
        <v>Техническое обслуживание силовых сетей, проложенных по кирпичным и бетонным основаниям, провод сечением 3х1,5-6 мм2/ кабель греющий</v>
      </c>
      <c r="E915" s="20" t="str">
        <f>Source!H682</f>
        <v>100 м</v>
      </c>
      <c r="F915" s="9">
        <f>Source!I682</f>
        <v>0.01</v>
      </c>
      <c r="G915" s="22"/>
      <c r="H915" s="21"/>
      <c r="I915" s="9"/>
      <c r="J915" s="9"/>
      <c r="K915" s="22"/>
      <c r="L915" s="22"/>
      <c r="Q915">
        <f>ROUND((Source!BZ682/100)*ROUND((Source!AF682*Source!AV682)*Source!I682, 2), 2)</f>
        <v>37.47</v>
      </c>
      <c r="R915">
        <f>Source!X682</f>
        <v>37.47</v>
      </c>
      <c r="S915">
        <f>ROUND((Source!CA682/100)*ROUND((Source!AF682*Source!AV682)*Source!I682, 2), 2)</f>
        <v>5.35</v>
      </c>
      <c r="T915">
        <f>Source!Y682</f>
        <v>5.35</v>
      </c>
      <c r="U915">
        <f>ROUND((175/100)*ROUND((Source!AE682*Source!AV682)*Source!I682, 2), 2)</f>
        <v>0</v>
      </c>
      <c r="V915">
        <f>ROUND((108/100)*ROUND(Source!CS682*Source!I682, 2), 2)</f>
        <v>0</v>
      </c>
    </row>
    <row r="916" spans="1:32" x14ac:dyDescent="0.2">
      <c r="D916" s="23" t="str">
        <f>"Объем: "&amp;Source!I682&amp;"=(5*"&amp;"10)*"&amp;"0,2*"&amp;"0,1/"&amp;"100"</f>
        <v>Объем: 0,01=(5*10)*0,2*0,1/100</v>
      </c>
    </row>
    <row r="917" spans="1:32" ht="14.25" x14ac:dyDescent="0.2">
      <c r="A917" s="19"/>
      <c r="B917" s="19"/>
      <c r="C917" s="19"/>
      <c r="D917" s="19" t="s">
        <v>500</v>
      </c>
      <c r="E917" s="20"/>
      <c r="F917" s="9"/>
      <c r="G917" s="22">
        <f>Source!AO682</f>
        <v>5353.15</v>
      </c>
      <c r="H917" s="21" t="str">
        <f>Source!DG682</f>
        <v/>
      </c>
      <c r="I917" s="9">
        <f>Source!AV682</f>
        <v>1</v>
      </c>
      <c r="J917" s="9">
        <f>IF(Source!BA682&lt;&gt; 0, Source!BA682, 1)</f>
        <v>1</v>
      </c>
      <c r="K917" s="22">
        <f>Source!S682</f>
        <v>53.53</v>
      </c>
      <c r="L917" s="22"/>
    </row>
    <row r="918" spans="1:32" ht="14.25" x14ac:dyDescent="0.2">
      <c r="A918" s="19"/>
      <c r="B918" s="19"/>
      <c r="C918" s="19"/>
      <c r="D918" s="19" t="s">
        <v>508</v>
      </c>
      <c r="E918" s="20"/>
      <c r="F918" s="9"/>
      <c r="G918" s="22">
        <f>Source!AL682</f>
        <v>22.51</v>
      </c>
      <c r="H918" s="21" t="str">
        <f>Source!DD682</f>
        <v/>
      </c>
      <c r="I918" s="9">
        <f>Source!AW682</f>
        <v>1</v>
      </c>
      <c r="J918" s="9">
        <f>IF(Source!BC682&lt;&gt; 0, Source!BC682, 1)</f>
        <v>1</v>
      </c>
      <c r="K918" s="22">
        <f>Source!P682</f>
        <v>0.23</v>
      </c>
      <c r="L918" s="22"/>
    </row>
    <row r="919" spans="1:32" ht="14.25" x14ac:dyDescent="0.2">
      <c r="A919" s="19"/>
      <c r="B919" s="19"/>
      <c r="C919" s="19"/>
      <c r="D919" s="19" t="s">
        <v>501</v>
      </c>
      <c r="E919" s="20" t="s">
        <v>502</v>
      </c>
      <c r="F919" s="9">
        <f>Source!AT682</f>
        <v>70</v>
      </c>
      <c r="G919" s="22"/>
      <c r="H919" s="21"/>
      <c r="I919" s="9"/>
      <c r="J919" s="9"/>
      <c r="K919" s="22">
        <f>SUM(R915:R918)</f>
        <v>37.47</v>
      </c>
      <c r="L919" s="22"/>
    </row>
    <row r="920" spans="1:32" ht="14.25" x14ac:dyDescent="0.2">
      <c r="A920" s="19"/>
      <c r="B920" s="19"/>
      <c r="C920" s="19"/>
      <c r="D920" s="19" t="s">
        <v>503</v>
      </c>
      <c r="E920" s="20" t="s">
        <v>502</v>
      </c>
      <c r="F920" s="9">
        <f>Source!AU682</f>
        <v>10</v>
      </c>
      <c r="G920" s="22"/>
      <c r="H920" s="21"/>
      <c r="I920" s="9"/>
      <c r="J920" s="9"/>
      <c r="K920" s="22">
        <f>SUM(T915:T919)</f>
        <v>5.35</v>
      </c>
      <c r="L920" s="22"/>
    </row>
    <row r="921" spans="1:32" ht="14.25" x14ac:dyDescent="0.2">
      <c r="A921" s="19"/>
      <c r="B921" s="19"/>
      <c r="C921" s="19"/>
      <c r="D921" s="19" t="s">
        <v>504</v>
      </c>
      <c r="E921" s="20" t="s">
        <v>505</v>
      </c>
      <c r="F921" s="9">
        <f>Source!AQ682</f>
        <v>10</v>
      </c>
      <c r="G921" s="22"/>
      <c r="H921" s="21" t="str">
        <f>Source!DI682</f>
        <v/>
      </c>
      <c r="I921" s="9">
        <f>Source!AV682</f>
        <v>1</v>
      </c>
      <c r="J921" s="9"/>
      <c r="K921" s="22"/>
      <c r="L921" s="22">
        <f>Source!U682</f>
        <v>0.1</v>
      </c>
    </row>
    <row r="922" spans="1:32" ht="15" x14ac:dyDescent="0.25">
      <c r="A922" s="25"/>
      <c r="B922" s="25"/>
      <c r="C922" s="25"/>
      <c r="D922" s="25"/>
      <c r="E922" s="25"/>
      <c r="F922" s="25"/>
      <c r="G922" s="25"/>
      <c r="H922" s="25"/>
      <c r="I922" s="25"/>
      <c r="J922" s="52">
        <f>K917+K918+K919+K920</f>
        <v>96.579999999999984</v>
      </c>
      <c r="K922" s="52"/>
      <c r="L922" s="26">
        <f>IF(Source!I682&lt;&gt;0, ROUND(J922/Source!I682, 2), 0)</f>
        <v>9658</v>
      </c>
      <c r="P922" s="24">
        <f>J922</f>
        <v>96.579999999999984</v>
      </c>
    </row>
    <row r="924" spans="1:32" ht="15" x14ac:dyDescent="0.25">
      <c r="A924" s="54" t="str">
        <f>CONCATENATE("Итого по подразделу: ",IF(Source!G685&lt;&gt;"Новый подраздел", Source!G685, ""))</f>
        <v>Итого по подразделу: Система электроснабжения</v>
      </c>
      <c r="B924" s="54"/>
      <c r="C924" s="54"/>
      <c r="D924" s="54"/>
      <c r="E924" s="54"/>
      <c r="F924" s="54"/>
      <c r="G924" s="54"/>
      <c r="H924" s="54"/>
      <c r="I924" s="54"/>
      <c r="J924" s="53">
        <f>SUM(P789:P923)</f>
        <v>661064.31999999995</v>
      </c>
      <c r="K924" s="73"/>
      <c r="L924" s="28"/>
    </row>
    <row r="927" spans="1:32" ht="30" x14ac:dyDescent="0.25">
      <c r="A927" s="54" t="str">
        <f>CONCATENATE("Итого по разделу: ",IF(Source!G715&lt;&gt;"Новый раздел", Source!G715, ""))</f>
        <v>Итого по разделу: Дом двухсекционный  (10 шт.) по адресу: г. Москва, городское поселение Краснопахорское, квартал 107</v>
      </c>
      <c r="B927" s="54"/>
      <c r="C927" s="54"/>
      <c r="D927" s="54"/>
      <c r="E927" s="54"/>
      <c r="F927" s="54"/>
      <c r="G927" s="54"/>
      <c r="H927" s="54"/>
      <c r="I927" s="54"/>
      <c r="J927" s="53">
        <f>SUM(P624:P926)</f>
        <v>877578.0399999998</v>
      </c>
      <c r="K927" s="73"/>
      <c r="L927" s="28"/>
      <c r="AF927" s="29" t="str">
        <f>CONCATENATE("Итого по разделу: ",IF(Source!G715&lt;&gt;"Новый раздел", Source!G715, ""))</f>
        <v>Итого по разделу: Дом двухсекционный  (10 шт.) по адресу: г. Москва, городское поселение Краснопахорское, квартал 107</v>
      </c>
    </row>
    <row r="930" spans="1:12" ht="15" x14ac:dyDescent="0.25">
      <c r="A930" s="54" t="str">
        <f>CONCATENATE("Итого по локальной смете: ",IF(Source!G745&lt;&gt;"Новая локальная смета", Source!G745, ""))</f>
        <v xml:space="preserve">Итого по локальной смете: </v>
      </c>
      <c r="B930" s="54"/>
      <c r="C930" s="54"/>
      <c r="D930" s="54"/>
      <c r="E930" s="54"/>
      <c r="F930" s="54"/>
      <c r="G930" s="54"/>
      <c r="H930" s="54"/>
      <c r="I930" s="54"/>
      <c r="J930" s="53">
        <f>SUM(P38:P929)</f>
        <v>3011363.3200000012</v>
      </c>
      <c r="K930" s="73"/>
      <c r="L930" s="28"/>
    </row>
    <row r="933" spans="1:12" ht="15" x14ac:dyDescent="0.25">
      <c r="A933" s="54" t="str">
        <f>CONCATENATE("Итого по смете: ",IF(Source!G775&lt;&gt;"Новый объект", Source!G775, ""))</f>
        <v>Итого по смете: Фестивальная площадка_на 4 мес. (10%) испр.</v>
      </c>
      <c r="B933" s="54"/>
      <c r="C933" s="54"/>
      <c r="D933" s="54"/>
      <c r="E933" s="54"/>
      <c r="F933" s="54"/>
      <c r="G933" s="54"/>
      <c r="H933" s="54"/>
      <c r="I933" s="54"/>
      <c r="J933" s="53">
        <f>SUM(P1:P932)</f>
        <v>3011363.3200000012</v>
      </c>
      <c r="K933" s="73"/>
      <c r="L933" s="28"/>
    </row>
    <row r="934" spans="1:12" ht="14.25" x14ac:dyDescent="0.2">
      <c r="D934" s="39" t="str">
        <f>Source!H804</f>
        <v>Итого</v>
      </c>
      <c r="E934" s="39"/>
      <c r="F934" s="39"/>
      <c r="G934" s="39"/>
      <c r="H934" s="39"/>
      <c r="I934" s="39"/>
      <c r="J934" s="46">
        <f>IF(Source!F804=0, "", Source!F804)</f>
        <v>3011363.32</v>
      </c>
      <c r="K934" s="46"/>
    </row>
    <row r="935" spans="1:12" ht="14.25" x14ac:dyDescent="0.2">
      <c r="D935" s="39" t="str">
        <f>Source!H805</f>
        <v>НДС, 22%</v>
      </c>
      <c r="E935" s="39"/>
      <c r="F935" s="39"/>
      <c r="G935" s="39"/>
      <c r="H935" s="39"/>
      <c r="I935" s="39"/>
      <c r="J935" s="46">
        <f>IF(Source!F805=0, "", Source!F805)</f>
        <v>662499.93000000005</v>
      </c>
      <c r="K935" s="46"/>
    </row>
    <row r="936" spans="1:12" ht="14.25" x14ac:dyDescent="0.2">
      <c r="D936" s="39" t="str">
        <f>Source!H806</f>
        <v>Всего с НДС</v>
      </c>
      <c r="E936" s="39"/>
      <c r="F936" s="39"/>
      <c r="G936" s="39"/>
      <c r="H936" s="39"/>
      <c r="I936" s="39"/>
      <c r="J936" s="46">
        <f>IF(Source!F806=0, "", Source!F806)</f>
        <v>3673863.25</v>
      </c>
      <c r="K936" s="46"/>
    </row>
    <row r="939" spans="1:12" ht="14.25" x14ac:dyDescent="0.2">
      <c r="A939" s="10"/>
      <c r="B939" s="56" t="s">
        <v>553</v>
      </c>
      <c r="C939" s="56"/>
      <c r="D939" s="30" t="str">
        <f>IF(Source!AM12&lt;&gt;"", Source!AM12," ")</f>
        <v xml:space="preserve"> </v>
      </c>
      <c r="E939" s="30"/>
      <c r="F939" s="30"/>
      <c r="G939" s="30"/>
      <c r="H939" s="30"/>
      <c r="I939" s="10" t="str">
        <f>IF(Source!AL12&lt;&gt;"", Source!AL12," ")</f>
        <v xml:space="preserve"> </v>
      </c>
      <c r="J939" s="10"/>
      <c r="K939" s="10"/>
      <c r="L939" s="10"/>
    </row>
    <row r="940" spans="1:12" ht="14.25" x14ac:dyDescent="0.2">
      <c r="A940" s="10"/>
      <c r="B940" s="10"/>
      <c r="C940" s="10"/>
      <c r="D940" s="57" t="s">
        <v>519</v>
      </c>
      <c r="E940" s="57"/>
      <c r="F940" s="57"/>
      <c r="G940" s="57"/>
      <c r="H940" s="57"/>
      <c r="I940" s="10"/>
      <c r="J940" s="10"/>
      <c r="K940" s="10"/>
      <c r="L940" s="10"/>
    </row>
    <row r="941" spans="1:12" ht="14.25" x14ac:dyDescent="0.2">
      <c r="A941" s="10"/>
      <c r="B941" s="10"/>
      <c r="C941" s="10"/>
      <c r="D941" s="10"/>
      <c r="E941" s="10"/>
      <c r="F941" s="10"/>
      <c r="G941" s="10"/>
      <c r="H941" s="10"/>
      <c r="I941" s="10"/>
      <c r="J941" s="10"/>
      <c r="K941" s="10"/>
      <c r="L941" s="10"/>
    </row>
    <row r="942" spans="1:12" ht="14.25" x14ac:dyDescent="0.2">
      <c r="A942" s="10"/>
      <c r="B942" s="56" t="s">
        <v>554</v>
      </c>
      <c r="C942" s="56"/>
      <c r="D942" s="30" t="str">
        <f>IF(Source!AI12&lt;&gt;"", Source!AI12," ")</f>
        <v xml:space="preserve"> </v>
      </c>
      <c r="E942" s="30"/>
      <c r="F942" s="30"/>
      <c r="G942" s="30"/>
      <c r="H942" s="30"/>
      <c r="I942" s="10" t="str">
        <f>IF(Source!AH12&lt;&gt;"", Source!AH12," ")</f>
        <v xml:space="preserve"> </v>
      </c>
      <c r="J942" s="10"/>
      <c r="K942" s="10"/>
      <c r="L942" s="10"/>
    </row>
    <row r="943" spans="1:12" ht="14.25" x14ac:dyDescent="0.2">
      <c r="A943" s="10"/>
      <c r="B943" s="10"/>
      <c r="C943" s="10"/>
      <c r="D943" s="57" t="s">
        <v>519</v>
      </c>
      <c r="E943" s="57"/>
      <c r="F943" s="57"/>
      <c r="G943" s="57"/>
      <c r="H943" s="57"/>
      <c r="I943" s="10"/>
      <c r="J943" s="10"/>
      <c r="K943" s="10"/>
      <c r="L943" s="10"/>
    </row>
  </sheetData>
  <mergeCells count="209">
    <mergeCell ref="B939:C939"/>
    <mergeCell ref="D940:H940"/>
    <mergeCell ref="B942:C942"/>
    <mergeCell ref="D943:H943"/>
    <mergeCell ref="D934:I934"/>
    <mergeCell ref="J934:K934"/>
    <mergeCell ref="D935:I935"/>
    <mergeCell ref="J935:K935"/>
    <mergeCell ref="D936:I936"/>
    <mergeCell ref="J936:K936"/>
    <mergeCell ref="J927:K927"/>
    <mergeCell ref="A927:I927"/>
    <mergeCell ref="J930:K930"/>
    <mergeCell ref="A930:I930"/>
    <mergeCell ref="J933:K933"/>
    <mergeCell ref="A933:I933"/>
    <mergeCell ref="C896:K896"/>
    <mergeCell ref="J904:K904"/>
    <mergeCell ref="J912:K912"/>
    <mergeCell ref="C914:K914"/>
    <mergeCell ref="J922:K922"/>
    <mergeCell ref="J924:K924"/>
    <mergeCell ref="A924:I924"/>
    <mergeCell ref="J857:K857"/>
    <mergeCell ref="J865:K865"/>
    <mergeCell ref="C867:K867"/>
    <mergeCell ref="J878:K878"/>
    <mergeCell ref="J886:K886"/>
    <mergeCell ref="J894:K894"/>
    <mergeCell ref="J815:K815"/>
    <mergeCell ref="J823:K823"/>
    <mergeCell ref="J831:K831"/>
    <mergeCell ref="J839:K839"/>
    <mergeCell ref="C841:K841"/>
    <mergeCell ref="J849:K849"/>
    <mergeCell ref="J786:K786"/>
    <mergeCell ref="A786:I786"/>
    <mergeCell ref="A789:L789"/>
    <mergeCell ref="C791:K791"/>
    <mergeCell ref="J799:K799"/>
    <mergeCell ref="J807:K807"/>
    <mergeCell ref="J752:K752"/>
    <mergeCell ref="A752:I752"/>
    <mergeCell ref="A755:L755"/>
    <mergeCell ref="J762:K762"/>
    <mergeCell ref="J773:K773"/>
    <mergeCell ref="J784:K784"/>
    <mergeCell ref="J725:K725"/>
    <mergeCell ref="J736:K736"/>
    <mergeCell ref="J738:K738"/>
    <mergeCell ref="A738:I738"/>
    <mergeCell ref="A741:L741"/>
    <mergeCell ref="J750:K750"/>
    <mergeCell ref="J673:K673"/>
    <mergeCell ref="J683:K683"/>
    <mergeCell ref="J691:K691"/>
    <mergeCell ref="J701:K701"/>
    <mergeCell ref="J708:K708"/>
    <mergeCell ref="J718:K718"/>
    <mergeCell ref="A624:L624"/>
    <mergeCell ref="A626:L626"/>
    <mergeCell ref="J637:K637"/>
    <mergeCell ref="J648:K648"/>
    <mergeCell ref="J655:K655"/>
    <mergeCell ref="J665:K665"/>
    <mergeCell ref="J606:K606"/>
    <mergeCell ref="C608:K608"/>
    <mergeCell ref="J616:K616"/>
    <mergeCell ref="J618:K618"/>
    <mergeCell ref="A618:I618"/>
    <mergeCell ref="J621:K621"/>
    <mergeCell ref="A621:I621"/>
    <mergeCell ref="C562:K562"/>
    <mergeCell ref="J573:K573"/>
    <mergeCell ref="J581:K581"/>
    <mergeCell ref="J588:K588"/>
    <mergeCell ref="C590:K590"/>
    <mergeCell ref="J598:K598"/>
    <mergeCell ref="J526:K526"/>
    <mergeCell ref="J534:K534"/>
    <mergeCell ref="C536:K536"/>
    <mergeCell ref="J544:K544"/>
    <mergeCell ref="J552:K552"/>
    <mergeCell ref="J560:K560"/>
    <mergeCell ref="A485:L485"/>
    <mergeCell ref="C487:K487"/>
    <mergeCell ref="J494:K494"/>
    <mergeCell ref="J502:K502"/>
    <mergeCell ref="J510:K510"/>
    <mergeCell ref="J518:K518"/>
    <mergeCell ref="A451:L451"/>
    <mergeCell ref="J458:K458"/>
    <mergeCell ref="J469:K469"/>
    <mergeCell ref="J480:K480"/>
    <mergeCell ref="J482:K482"/>
    <mergeCell ref="A482:I482"/>
    <mergeCell ref="J432:K432"/>
    <mergeCell ref="J434:K434"/>
    <mergeCell ref="A434:I434"/>
    <mergeCell ref="A437:L437"/>
    <mergeCell ref="J446:K446"/>
    <mergeCell ref="J448:K448"/>
    <mergeCell ref="A448:I448"/>
    <mergeCell ref="J379:K379"/>
    <mergeCell ref="J387:K387"/>
    <mergeCell ref="J397:K397"/>
    <mergeCell ref="J404:K404"/>
    <mergeCell ref="J414:K414"/>
    <mergeCell ref="J421:K421"/>
    <mergeCell ref="A322:L322"/>
    <mergeCell ref="J333:K333"/>
    <mergeCell ref="J344:K344"/>
    <mergeCell ref="J351:K351"/>
    <mergeCell ref="J361:K361"/>
    <mergeCell ref="J369:K369"/>
    <mergeCell ref="J312:K312"/>
    <mergeCell ref="J314:K314"/>
    <mergeCell ref="A314:I314"/>
    <mergeCell ref="J317:K317"/>
    <mergeCell ref="A317:I317"/>
    <mergeCell ref="A320:L320"/>
    <mergeCell ref="J276:K276"/>
    <mergeCell ref="C278:K278"/>
    <mergeCell ref="J286:K286"/>
    <mergeCell ref="J294:K294"/>
    <mergeCell ref="C296:K296"/>
    <mergeCell ref="J304:K304"/>
    <mergeCell ref="J237:K237"/>
    <mergeCell ref="C239:K239"/>
    <mergeCell ref="J247:K247"/>
    <mergeCell ref="J255:K255"/>
    <mergeCell ref="C257:K257"/>
    <mergeCell ref="J268:K268"/>
    <mergeCell ref="A195:L195"/>
    <mergeCell ref="C197:K197"/>
    <mergeCell ref="J205:K205"/>
    <mergeCell ref="J213:K213"/>
    <mergeCell ref="J221:K221"/>
    <mergeCell ref="J229:K229"/>
    <mergeCell ref="A161:L161"/>
    <mergeCell ref="J168:K168"/>
    <mergeCell ref="J179:K179"/>
    <mergeCell ref="J190:K190"/>
    <mergeCell ref="J192:K192"/>
    <mergeCell ref="A192:I192"/>
    <mergeCell ref="J144:K144"/>
    <mergeCell ref="A144:I144"/>
    <mergeCell ref="A147:L147"/>
    <mergeCell ref="J156:K156"/>
    <mergeCell ref="J158:K158"/>
    <mergeCell ref="A158:I158"/>
    <mergeCell ref="J103:K103"/>
    <mergeCell ref="J110:K110"/>
    <mergeCell ref="J120:K120"/>
    <mergeCell ref="J127:K127"/>
    <mergeCell ref="J135:K135"/>
    <mergeCell ref="J142:K142"/>
    <mergeCell ref="A42:L42"/>
    <mergeCell ref="J49:K49"/>
    <mergeCell ref="J60:K60"/>
    <mergeCell ref="J70:K70"/>
    <mergeCell ref="J81:K81"/>
    <mergeCell ref="J92:K92"/>
    <mergeCell ref="J33:J35"/>
    <mergeCell ref="K33:K35"/>
    <mergeCell ref="A34:A35"/>
    <mergeCell ref="B34:B35"/>
    <mergeCell ref="A38:L38"/>
    <mergeCell ref="A40:L40"/>
    <mergeCell ref="H31:I31"/>
    <mergeCell ref="A33:B33"/>
    <mergeCell ref="C33:C35"/>
    <mergeCell ref="D33:D35"/>
    <mergeCell ref="E33:E35"/>
    <mergeCell ref="F33:F35"/>
    <mergeCell ref="G33:G35"/>
    <mergeCell ref="H33:H35"/>
    <mergeCell ref="I33:I35"/>
    <mergeCell ref="J22:L22"/>
    <mergeCell ref="G24:G25"/>
    <mergeCell ref="H24:H25"/>
    <mergeCell ref="I24:J24"/>
    <mergeCell ref="A28:L28"/>
    <mergeCell ref="A29:L29"/>
    <mergeCell ref="C18:H18"/>
    <mergeCell ref="G19:I19"/>
    <mergeCell ref="J19:L19"/>
    <mergeCell ref="G20:H20"/>
    <mergeCell ref="J20:L20"/>
    <mergeCell ref="J21:L21"/>
    <mergeCell ref="C16:H16"/>
    <mergeCell ref="J16:L17"/>
    <mergeCell ref="C17:H17"/>
    <mergeCell ref="C9:H9"/>
    <mergeCell ref="C10:H10"/>
    <mergeCell ref="J10:L11"/>
    <mergeCell ref="C11:H11"/>
    <mergeCell ref="C12:H12"/>
    <mergeCell ref="J12:L13"/>
    <mergeCell ref="C13:H13"/>
    <mergeCell ref="I2:L2"/>
    <mergeCell ref="I3:L3"/>
    <mergeCell ref="I4:L4"/>
    <mergeCell ref="J6:L6"/>
    <mergeCell ref="J7:L7"/>
    <mergeCell ref="J8:L9"/>
    <mergeCell ref="C14:H14"/>
    <mergeCell ref="J14:L15"/>
    <mergeCell ref="C15:H15"/>
  </mergeCells>
  <pageMargins left="0.4" right="0.2" top="0.2" bottom="0.4" header="0.2" footer="0.2"/>
  <pageSetup paperSize="9" scale="61" fitToHeight="0" orientation="portrait" r:id="rId1"/>
  <headerFooter>
    <oddHeader>&amp;L&amp;8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K818"/>
  <sheetViews>
    <sheetView topLeftCell="A770" workbookViewId="0">
      <selection activeCell="F805" sqref="F805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48718</v>
      </c>
      <c r="M1">
        <v>1045431799</v>
      </c>
      <c r="N1">
        <v>11</v>
      </c>
      <c r="O1">
        <v>12</v>
      </c>
      <c r="P1">
        <v>0</v>
      </c>
      <c r="Q1">
        <v>1</v>
      </c>
    </row>
    <row r="12" spans="1:133" x14ac:dyDescent="0.2">
      <c r="A12" s="1">
        <v>1</v>
      </c>
      <c r="B12" s="1">
        <v>814</v>
      </c>
      <c r="C12" s="1">
        <v>0</v>
      </c>
      <c r="D12" s="1">
        <f>ROW(A775)</f>
        <v>775</v>
      </c>
      <c r="E12" s="1">
        <v>0</v>
      </c>
      <c r="F12" s="1" t="s">
        <v>3</v>
      </c>
      <c r="G12" s="1" t="s">
        <v>555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/>
      <c r="Y12" s="1"/>
      <c r="Z12" s="1"/>
      <c r="AA12" s="1"/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/>
      <c r="AI12" s="1"/>
      <c r="AJ12" s="1"/>
      <c r="AK12" s="1"/>
      <c r="AL12" s="1" t="s">
        <v>3</v>
      </c>
      <c r="AM12" s="1" t="s">
        <v>3</v>
      </c>
      <c r="AN12" s="1" t="s">
        <v>3</v>
      </c>
      <c r="AO12" s="1" t="s">
        <v>3</v>
      </c>
      <c r="AP12" s="1" t="s">
        <v>3</v>
      </c>
      <c r="AQ12" s="1" t="s">
        <v>3</v>
      </c>
      <c r="AR12" s="1" t="s">
        <v>3</v>
      </c>
      <c r="AS12" s="1" t="s">
        <v>3</v>
      </c>
      <c r="AT12" s="1"/>
      <c r="AU12" s="1"/>
      <c r="AV12" s="1"/>
      <c r="AW12" s="1"/>
      <c r="AX12" s="1"/>
      <c r="AY12" s="1"/>
      <c r="AZ12" s="1"/>
      <c r="BA12" s="1"/>
      <c r="BB12" s="1">
        <v>0</v>
      </c>
      <c r="BC12" s="1"/>
      <c r="BD12" s="1"/>
      <c r="BE12" s="1"/>
      <c r="BF12" s="1"/>
      <c r="BG12" s="1"/>
      <c r="BH12" s="1" t="s">
        <v>5</v>
      </c>
      <c r="BI12" s="1" t="s">
        <v>6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1</v>
      </c>
      <c r="BU12" s="1">
        <v>0</v>
      </c>
      <c r="BV12" s="1">
        <v>1</v>
      </c>
      <c r="BW12" s="1">
        <v>0</v>
      </c>
      <c r="BX12" s="1">
        <v>0</v>
      </c>
      <c r="BY12" s="1" t="s">
        <v>7</v>
      </c>
      <c r="BZ12" s="1" t="s">
        <v>8</v>
      </c>
      <c r="CA12" s="1" t="s">
        <v>9</v>
      </c>
      <c r="CB12" s="1" t="s">
        <v>9</v>
      </c>
      <c r="CC12" s="1" t="s">
        <v>9</v>
      </c>
      <c r="CD12" s="1" t="s">
        <v>9</v>
      </c>
      <c r="CE12" s="1" t="s">
        <v>10</v>
      </c>
      <c r="CF12" s="1">
        <v>0</v>
      </c>
      <c r="CG12" s="1">
        <v>0</v>
      </c>
      <c r="CH12" s="1">
        <v>16777226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B775</f>
        <v>814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/>
      </c>
      <c r="G18" s="2" t="str">
        <f t="shared" si="0"/>
        <v>Фестивальная площадка_на 4 мес. (10%) испр.</v>
      </c>
      <c r="H18" s="2"/>
      <c r="I18" s="2"/>
      <c r="J18" s="2"/>
      <c r="K18" s="2"/>
      <c r="L18" s="2"/>
      <c r="M18" s="2"/>
      <c r="N18" s="2"/>
      <c r="O18" s="2">
        <f t="shared" ref="O18:AT18" si="1">O775</f>
        <v>1684779.65</v>
      </c>
      <c r="P18" s="2">
        <f t="shared" si="1"/>
        <v>14131.21</v>
      </c>
      <c r="Q18" s="2">
        <f t="shared" si="1"/>
        <v>83920.84</v>
      </c>
      <c r="R18" s="2">
        <f t="shared" si="1"/>
        <v>52964.36</v>
      </c>
      <c r="S18" s="2">
        <f t="shared" si="1"/>
        <v>1586727.6</v>
      </c>
      <c r="T18" s="2">
        <f t="shared" si="1"/>
        <v>0</v>
      </c>
      <c r="U18" s="2">
        <f t="shared" si="1"/>
        <v>2661.9053999999996</v>
      </c>
      <c r="V18" s="2">
        <f t="shared" si="1"/>
        <v>0</v>
      </c>
      <c r="W18" s="2">
        <f t="shared" si="1"/>
        <v>0</v>
      </c>
      <c r="X18" s="2">
        <f t="shared" si="1"/>
        <v>1110709.3799999999</v>
      </c>
      <c r="Y18" s="2">
        <f t="shared" si="1"/>
        <v>158672.76999999999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3011363.32</v>
      </c>
      <c r="AS18" s="2">
        <f t="shared" si="1"/>
        <v>0</v>
      </c>
      <c r="AT18" s="2">
        <f t="shared" si="1"/>
        <v>0</v>
      </c>
      <c r="AU18" s="2">
        <f t="shared" ref="AU18:BZ18" si="2">AU775</f>
        <v>3011363.32</v>
      </c>
      <c r="AV18" s="2">
        <f t="shared" si="2"/>
        <v>14131.21</v>
      </c>
      <c r="AW18" s="2">
        <f t="shared" si="2"/>
        <v>14131.21</v>
      </c>
      <c r="AX18" s="2">
        <f t="shared" si="2"/>
        <v>0</v>
      </c>
      <c r="AY18" s="2">
        <f t="shared" si="2"/>
        <v>14131.21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CA775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DG775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EM775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FS775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ROW(A745)</f>
        <v>745</v>
      </c>
      <c r="E20" s="1"/>
      <c r="F20" s="1" t="s">
        <v>3</v>
      </c>
      <c r="G20" s="1" t="s">
        <v>11</v>
      </c>
      <c r="H20" s="1" t="s">
        <v>3</v>
      </c>
      <c r="I20" s="1">
        <v>0</v>
      </c>
      <c r="J20" s="1" t="s">
        <v>3</v>
      </c>
      <c r="K20" s="1">
        <v>0</v>
      </c>
      <c r="L20" s="1" t="s">
        <v>11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45" x14ac:dyDescent="0.2">
      <c r="A22" s="2">
        <v>52</v>
      </c>
      <c r="B22" s="2">
        <f t="shared" ref="B22:G22" si="7">B745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/>
      </c>
      <c r="G22" s="2" t="str">
        <f t="shared" si="7"/>
        <v>Новая локальная смета</v>
      </c>
      <c r="H22" s="2"/>
      <c r="I22" s="2"/>
      <c r="J22" s="2"/>
      <c r="K22" s="2"/>
      <c r="L22" s="2"/>
      <c r="M22" s="2"/>
      <c r="N22" s="2"/>
      <c r="O22" s="2">
        <f t="shared" ref="O22:AT22" si="8">O745</f>
        <v>1684779.65</v>
      </c>
      <c r="P22" s="2">
        <f t="shared" si="8"/>
        <v>14131.21</v>
      </c>
      <c r="Q22" s="2">
        <f t="shared" si="8"/>
        <v>83920.84</v>
      </c>
      <c r="R22" s="2">
        <f t="shared" si="8"/>
        <v>52964.36</v>
      </c>
      <c r="S22" s="2">
        <f t="shared" si="8"/>
        <v>1586727.6</v>
      </c>
      <c r="T22" s="2">
        <f t="shared" si="8"/>
        <v>0</v>
      </c>
      <c r="U22" s="2">
        <f t="shared" si="8"/>
        <v>2661.9053999999996</v>
      </c>
      <c r="V22" s="2">
        <f t="shared" si="8"/>
        <v>0</v>
      </c>
      <c r="W22" s="2">
        <f t="shared" si="8"/>
        <v>0</v>
      </c>
      <c r="X22" s="2">
        <f t="shared" si="8"/>
        <v>1110709.3799999999</v>
      </c>
      <c r="Y22" s="2">
        <f t="shared" si="8"/>
        <v>158672.76999999999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3011363.32</v>
      </c>
      <c r="AS22" s="2">
        <f t="shared" si="8"/>
        <v>0</v>
      </c>
      <c r="AT22" s="2">
        <f t="shared" si="8"/>
        <v>0</v>
      </c>
      <c r="AU22" s="2">
        <f t="shared" ref="AU22:BZ22" si="9">AU745</f>
        <v>3011363.32</v>
      </c>
      <c r="AV22" s="2">
        <f t="shared" si="9"/>
        <v>14131.21</v>
      </c>
      <c r="AW22" s="2">
        <f t="shared" si="9"/>
        <v>14131.21</v>
      </c>
      <c r="AX22" s="2">
        <f t="shared" si="9"/>
        <v>0</v>
      </c>
      <c r="AY22" s="2">
        <f t="shared" si="9"/>
        <v>14131.21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CA745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DG745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EM745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FS745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ROW(A231)</f>
        <v>231</v>
      </c>
      <c r="E24" s="1"/>
      <c r="F24" s="1" t="s">
        <v>12</v>
      </c>
      <c r="G24" s="1" t="s">
        <v>13</v>
      </c>
      <c r="H24" s="1" t="s">
        <v>3</v>
      </c>
      <c r="I24" s="1">
        <v>0</v>
      </c>
      <c r="J24" s="1"/>
      <c r="K24" s="1">
        <v>0</v>
      </c>
      <c r="L24" s="1"/>
      <c r="M24" s="1" t="s">
        <v>3</v>
      </c>
      <c r="N24" s="1"/>
      <c r="O24" s="1"/>
      <c r="P24" s="1"/>
      <c r="Q24" s="1"/>
      <c r="R24" s="1"/>
      <c r="S24" s="1">
        <v>0</v>
      </c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B231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Туалетные модули (7 шт) по адресу: г. Москва, городское поселение Краснопахорское, квартал 107</v>
      </c>
      <c r="H26" s="2"/>
      <c r="I26" s="2"/>
      <c r="J26" s="2"/>
      <c r="K26" s="2"/>
      <c r="L26" s="2"/>
      <c r="M26" s="2"/>
      <c r="N26" s="2"/>
      <c r="O26" s="2">
        <f t="shared" ref="O26:AT26" si="15">O231</f>
        <v>554142.57999999996</v>
      </c>
      <c r="P26" s="2">
        <f t="shared" si="15"/>
        <v>5237.04</v>
      </c>
      <c r="Q26" s="2">
        <f t="shared" si="15"/>
        <v>29024.28</v>
      </c>
      <c r="R26" s="2">
        <f t="shared" si="15"/>
        <v>18266.34</v>
      </c>
      <c r="S26" s="2">
        <f t="shared" si="15"/>
        <v>519881.26</v>
      </c>
      <c r="T26" s="2">
        <f t="shared" si="15"/>
        <v>0</v>
      </c>
      <c r="U26" s="2">
        <f t="shared" si="15"/>
        <v>903.74289999999996</v>
      </c>
      <c r="V26" s="2">
        <f t="shared" si="15"/>
        <v>0</v>
      </c>
      <c r="W26" s="2">
        <f t="shared" si="15"/>
        <v>0</v>
      </c>
      <c r="X26" s="2">
        <f t="shared" si="15"/>
        <v>363916.89</v>
      </c>
      <c r="Y26" s="2">
        <f t="shared" si="15"/>
        <v>51988.12</v>
      </c>
      <c r="Z26" s="2">
        <f t="shared" si="15"/>
        <v>0</v>
      </c>
      <c r="AA26" s="2">
        <f t="shared" si="15"/>
        <v>0</v>
      </c>
      <c r="AB26" s="2">
        <f t="shared" si="15"/>
        <v>0</v>
      </c>
      <c r="AC26" s="2">
        <f t="shared" si="15"/>
        <v>0</v>
      </c>
      <c r="AD26" s="2">
        <f t="shared" si="15"/>
        <v>0</v>
      </c>
      <c r="AE26" s="2">
        <f t="shared" si="15"/>
        <v>0</v>
      </c>
      <c r="AF26" s="2">
        <f t="shared" si="15"/>
        <v>0</v>
      </c>
      <c r="AG26" s="2">
        <f t="shared" si="15"/>
        <v>0</v>
      </c>
      <c r="AH26" s="2">
        <f t="shared" si="15"/>
        <v>0</v>
      </c>
      <c r="AI26" s="2">
        <f t="shared" si="15"/>
        <v>0</v>
      </c>
      <c r="AJ26" s="2">
        <f t="shared" si="15"/>
        <v>0</v>
      </c>
      <c r="AK26" s="2">
        <f t="shared" si="15"/>
        <v>0</v>
      </c>
      <c r="AL26" s="2">
        <f t="shared" si="15"/>
        <v>0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989775.24</v>
      </c>
      <c r="AS26" s="2">
        <f t="shared" si="15"/>
        <v>0</v>
      </c>
      <c r="AT26" s="2">
        <f t="shared" si="15"/>
        <v>0</v>
      </c>
      <c r="AU26" s="2">
        <f t="shared" ref="AU26:BZ26" si="16">AU231</f>
        <v>989775.24</v>
      </c>
      <c r="AV26" s="2">
        <f t="shared" si="16"/>
        <v>5237.04</v>
      </c>
      <c r="AW26" s="2">
        <f t="shared" si="16"/>
        <v>5237.04</v>
      </c>
      <c r="AX26" s="2">
        <f t="shared" si="16"/>
        <v>0</v>
      </c>
      <c r="AY26" s="2">
        <f t="shared" si="16"/>
        <v>5237.04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CA231</f>
        <v>0</v>
      </c>
      <c r="CB26" s="2">
        <f t="shared" si="17"/>
        <v>0</v>
      </c>
      <c r="CC26" s="2">
        <f t="shared" si="17"/>
        <v>0</v>
      </c>
      <c r="CD26" s="2">
        <f t="shared" si="17"/>
        <v>0</v>
      </c>
      <c r="CE26" s="2">
        <f t="shared" si="17"/>
        <v>0</v>
      </c>
      <c r="CF26" s="2">
        <f t="shared" si="17"/>
        <v>0</v>
      </c>
      <c r="CG26" s="2">
        <f t="shared" si="17"/>
        <v>0</v>
      </c>
      <c r="CH26" s="2">
        <f t="shared" si="17"/>
        <v>0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DG231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EM231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FS231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 s="1">
        <v>5</v>
      </c>
      <c r="B28" s="1">
        <v>1</v>
      </c>
      <c r="C28" s="1"/>
      <c r="D28" s="1">
        <f>ROW(A54)</f>
        <v>54</v>
      </c>
      <c r="E28" s="1"/>
      <c r="F28" s="1" t="s">
        <v>14</v>
      </c>
      <c r="G28" s="1" t="s">
        <v>15</v>
      </c>
      <c r="H28" s="1" t="s">
        <v>3</v>
      </c>
      <c r="I28" s="1">
        <v>0</v>
      </c>
      <c r="J28" s="1"/>
      <c r="K28" s="1">
        <v>-1</v>
      </c>
      <c r="L28" s="1"/>
      <c r="M28" s="1" t="s">
        <v>3</v>
      </c>
      <c r="N28" s="1"/>
      <c r="O28" s="1"/>
      <c r="P28" s="1"/>
      <c r="Q28" s="1"/>
      <c r="R28" s="1"/>
      <c r="S28" s="1">
        <v>0</v>
      </c>
      <c r="T28" s="1"/>
      <c r="U28" s="1" t="s">
        <v>3</v>
      </c>
      <c r="V28" s="1">
        <v>0</v>
      </c>
      <c r="W28" s="1"/>
      <c r="X28" s="1"/>
      <c r="Y28" s="1"/>
      <c r="Z28" s="1"/>
      <c r="AA28" s="1"/>
      <c r="AB28" s="1" t="s">
        <v>3</v>
      </c>
      <c r="AC28" s="1" t="s">
        <v>3</v>
      </c>
      <c r="AD28" s="1" t="s">
        <v>3</v>
      </c>
      <c r="AE28" s="1" t="s">
        <v>3</v>
      </c>
      <c r="AF28" s="1" t="s">
        <v>3</v>
      </c>
      <c r="AG28" s="1" t="s">
        <v>3</v>
      </c>
      <c r="AH28" s="1"/>
      <c r="AI28" s="1"/>
      <c r="AJ28" s="1"/>
      <c r="AK28" s="1"/>
      <c r="AL28" s="1"/>
      <c r="AM28" s="1"/>
      <c r="AN28" s="1"/>
      <c r="AO28" s="1"/>
      <c r="AP28" s="1" t="s">
        <v>3</v>
      </c>
      <c r="AQ28" s="1" t="s">
        <v>3</v>
      </c>
      <c r="AR28" s="1" t="s">
        <v>3</v>
      </c>
      <c r="AS28" s="1"/>
      <c r="AT28" s="1"/>
      <c r="AU28" s="1"/>
      <c r="AV28" s="1"/>
      <c r="AW28" s="1"/>
      <c r="AX28" s="1"/>
      <c r="AY28" s="1"/>
      <c r="AZ28" s="1" t="s">
        <v>3</v>
      </c>
      <c r="BA28" s="1"/>
      <c r="BB28" s="1" t="s">
        <v>3</v>
      </c>
      <c r="BC28" s="1" t="s">
        <v>3</v>
      </c>
      <c r="BD28" s="1" t="s">
        <v>3</v>
      </c>
      <c r="BE28" s="1" t="s">
        <v>3</v>
      </c>
      <c r="BF28" s="1" t="s">
        <v>3</v>
      </c>
      <c r="BG28" s="1" t="s">
        <v>3</v>
      </c>
      <c r="BH28" s="1" t="s">
        <v>3</v>
      </c>
      <c r="BI28" s="1" t="s">
        <v>3</v>
      </c>
      <c r="BJ28" s="1" t="s">
        <v>3</v>
      </c>
      <c r="BK28" s="1" t="s">
        <v>3</v>
      </c>
      <c r="BL28" s="1" t="s">
        <v>3</v>
      </c>
      <c r="BM28" s="1" t="s">
        <v>3</v>
      </c>
      <c r="BN28" s="1" t="s">
        <v>3</v>
      </c>
      <c r="BO28" s="1" t="s">
        <v>3</v>
      </c>
      <c r="BP28" s="1" t="s">
        <v>3</v>
      </c>
      <c r="BQ28" s="1"/>
      <c r="BR28" s="1"/>
      <c r="BS28" s="1"/>
      <c r="BT28" s="1"/>
      <c r="BU28" s="1"/>
      <c r="BV28" s="1"/>
      <c r="BW28" s="1"/>
      <c r="BX28" s="1">
        <v>0</v>
      </c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>
        <v>0</v>
      </c>
    </row>
    <row r="30" spans="1:245" x14ac:dyDescent="0.2">
      <c r="A30" s="2">
        <v>52</v>
      </c>
      <c r="B30" s="2">
        <f t="shared" ref="B30:G30" si="21">B54</f>
        <v>1</v>
      </c>
      <c r="C30" s="2">
        <f t="shared" si="21"/>
        <v>5</v>
      </c>
      <c r="D30" s="2">
        <f t="shared" si="21"/>
        <v>28</v>
      </c>
      <c r="E30" s="2">
        <f t="shared" si="21"/>
        <v>0</v>
      </c>
      <c r="F30" s="2" t="str">
        <f t="shared" si="21"/>
        <v>Новый подраздел</v>
      </c>
      <c r="G30" s="2" t="str">
        <f t="shared" si="21"/>
        <v>Система внутреннего водоснабжения и водоотведения</v>
      </c>
      <c r="H30" s="2"/>
      <c r="I30" s="2"/>
      <c r="J30" s="2"/>
      <c r="K30" s="2"/>
      <c r="L30" s="2"/>
      <c r="M30" s="2"/>
      <c r="N30" s="2"/>
      <c r="O30" s="2">
        <f t="shared" ref="O30:AT30" si="22">O54</f>
        <v>274314.46000000002</v>
      </c>
      <c r="P30" s="2">
        <f t="shared" si="22"/>
        <v>2484.65</v>
      </c>
      <c r="Q30" s="2">
        <f t="shared" si="22"/>
        <v>26466.2</v>
      </c>
      <c r="R30" s="2">
        <f t="shared" si="22"/>
        <v>16692.28</v>
      </c>
      <c r="S30" s="2">
        <f t="shared" si="22"/>
        <v>245363.61</v>
      </c>
      <c r="T30" s="2">
        <f t="shared" si="22"/>
        <v>0</v>
      </c>
      <c r="U30" s="2">
        <f t="shared" si="22"/>
        <v>462.53690000000006</v>
      </c>
      <c r="V30" s="2">
        <f t="shared" si="22"/>
        <v>0</v>
      </c>
      <c r="W30" s="2">
        <f t="shared" si="22"/>
        <v>0</v>
      </c>
      <c r="X30" s="2">
        <f t="shared" si="22"/>
        <v>171754.53</v>
      </c>
      <c r="Y30" s="2">
        <f t="shared" si="22"/>
        <v>24536.37</v>
      </c>
      <c r="Z30" s="2">
        <f t="shared" si="22"/>
        <v>0</v>
      </c>
      <c r="AA30" s="2">
        <f t="shared" si="22"/>
        <v>0</v>
      </c>
      <c r="AB30" s="2">
        <f t="shared" si="22"/>
        <v>274314.46000000002</v>
      </c>
      <c r="AC30" s="2">
        <f t="shared" si="22"/>
        <v>2484.65</v>
      </c>
      <c r="AD30" s="2">
        <f t="shared" si="22"/>
        <v>26466.2</v>
      </c>
      <c r="AE30" s="2">
        <f t="shared" si="22"/>
        <v>16692.28</v>
      </c>
      <c r="AF30" s="2">
        <f t="shared" si="22"/>
        <v>245363.61</v>
      </c>
      <c r="AG30" s="2">
        <f t="shared" si="22"/>
        <v>0</v>
      </c>
      <c r="AH30" s="2">
        <f t="shared" si="22"/>
        <v>462.53690000000006</v>
      </c>
      <c r="AI30" s="2">
        <f t="shared" si="22"/>
        <v>0</v>
      </c>
      <c r="AJ30" s="2">
        <f t="shared" si="22"/>
        <v>0</v>
      </c>
      <c r="AK30" s="2">
        <f t="shared" si="22"/>
        <v>171754.53</v>
      </c>
      <c r="AL30" s="2">
        <f t="shared" si="22"/>
        <v>24536.37</v>
      </c>
      <c r="AM30" s="2">
        <f t="shared" si="22"/>
        <v>0</v>
      </c>
      <c r="AN30" s="2">
        <f t="shared" si="22"/>
        <v>0</v>
      </c>
      <c r="AO30" s="2">
        <f t="shared" si="22"/>
        <v>0</v>
      </c>
      <c r="AP30" s="2">
        <f t="shared" si="22"/>
        <v>0</v>
      </c>
      <c r="AQ30" s="2">
        <f t="shared" si="22"/>
        <v>0</v>
      </c>
      <c r="AR30" s="2">
        <f t="shared" si="22"/>
        <v>488633.02</v>
      </c>
      <c r="AS30" s="2">
        <f t="shared" si="22"/>
        <v>0</v>
      </c>
      <c r="AT30" s="2">
        <f t="shared" si="22"/>
        <v>0</v>
      </c>
      <c r="AU30" s="2">
        <f t="shared" ref="AU30:BZ30" si="23">AU54</f>
        <v>488633.02</v>
      </c>
      <c r="AV30" s="2">
        <f t="shared" si="23"/>
        <v>2484.65</v>
      </c>
      <c r="AW30" s="2">
        <f t="shared" si="23"/>
        <v>2484.65</v>
      </c>
      <c r="AX30" s="2">
        <f t="shared" si="23"/>
        <v>0</v>
      </c>
      <c r="AY30" s="2">
        <f t="shared" si="23"/>
        <v>2484.65</v>
      </c>
      <c r="AZ30" s="2">
        <f t="shared" si="23"/>
        <v>0</v>
      </c>
      <c r="BA30" s="2">
        <f t="shared" si="23"/>
        <v>0</v>
      </c>
      <c r="BB30" s="2">
        <f t="shared" si="23"/>
        <v>0</v>
      </c>
      <c r="BC30" s="2">
        <f t="shared" si="23"/>
        <v>0</v>
      </c>
      <c r="BD30" s="2">
        <f t="shared" si="23"/>
        <v>0</v>
      </c>
      <c r="BE30" s="2">
        <f t="shared" si="23"/>
        <v>0</v>
      </c>
      <c r="BF30" s="2">
        <f t="shared" si="23"/>
        <v>0</v>
      </c>
      <c r="BG30" s="2">
        <f t="shared" si="23"/>
        <v>0</v>
      </c>
      <c r="BH30" s="2">
        <f t="shared" si="23"/>
        <v>0</v>
      </c>
      <c r="BI30" s="2">
        <f t="shared" si="23"/>
        <v>0</v>
      </c>
      <c r="BJ30" s="2">
        <f t="shared" si="23"/>
        <v>0</v>
      </c>
      <c r="BK30" s="2">
        <f t="shared" si="23"/>
        <v>0</v>
      </c>
      <c r="BL30" s="2">
        <f t="shared" si="23"/>
        <v>0</v>
      </c>
      <c r="BM30" s="2">
        <f t="shared" si="23"/>
        <v>0</v>
      </c>
      <c r="BN30" s="2">
        <f t="shared" si="23"/>
        <v>0</v>
      </c>
      <c r="BO30" s="2">
        <f t="shared" si="23"/>
        <v>0</v>
      </c>
      <c r="BP30" s="2">
        <f t="shared" si="23"/>
        <v>0</v>
      </c>
      <c r="BQ30" s="2">
        <f t="shared" si="23"/>
        <v>0</v>
      </c>
      <c r="BR30" s="2">
        <f t="shared" si="23"/>
        <v>0</v>
      </c>
      <c r="BS30" s="2">
        <f t="shared" si="23"/>
        <v>0</v>
      </c>
      <c r="BT30" s="2">
        <f t="shared" si="23"/>
        <v>0</v>
      </c>
      <c r="BU30" s="2">
        <f t="shared" si="23"/>
        <v>0</v>
      </c>
      <c r="BV30" s="2">
        <f t="shared" si="23"/>
        <v>0</v>
      </c>
      <c r="BW30" s="2">
        <f t="shared" si="23"/>
        <v>0</v>
      </c>
      <c r="BX30" s="2">
        <f t="shared" si="23"/>
        <v>0</v>
      </c>
      <c r="BY30" s="2">
        <f t="shared" si="23"/>
        <v>0</v>
      </c>
      <c r="BZ30" s="2">
        <f t="shared" si="23"/>
        <v>0</v>
      </c>
      <c r="CA30" s="2">
        <f t="shared" ref="CA30:DF30" si="24">CA54</f>
        <v>488633.02</v>
      </c>
      <c r="CB30" s="2">
        <f t="shared" si="24"/>
        <v>0</v>
      </c>
      <c r="CC30" s="2">
        <f t="shared" si="24"/>
        <v>0</v>
      </c>
      <c r="CD30" s="2">
        <f t="shared" si="24"/>
        <v>488633.02</v>
      </c>
      <c r="CE30" s="2">
        <f t="shared" si="24"/>
        <v>2484.65</v>
      </c>
      <c r="CF30" s="2">
        <f t="shared" si="24"/>
        <v>2484.65</v>
      </c>
      <c r="CG30" s="2">
        <f t="shared" si="24"/>
        <v>0</v>
      </c>
      <c r="CH30" s="2">
        <f t="shared" si="24"/>
        <v>2484.65</v>
      </c>
      <c r="CI30" s="2">
        <f t="shared" si="24"/>
        <v>0</v>
      </c>
      <c r="CJ30" s="2">
        <f t="shared" si="24"/>
        <v>0</v>
      </c>
      <c r="CK30" s="2">
        <f t="shared" si="24"/>
        <v>0</v>
      </c>
      <c r="CL30" s="2">
        <f t="shared" si="24"/>
        <v>0</v>
      </c>
      <c r="CM30" s="2">
        <f t="shared" si="24"/>
        <v>0</v>
      </c>
      <c r="CN30" s="2">
        <f t="shared" si="24"/>
        <v>0</v>
      </c>
      <c r="CO30" s="2">
        <f t="shared" si="24"/>
        <v>0</v>
      </c>
      <c r="CP30" s="2">
        <f t="shared" si="24"/>
        <v>0</v>
      </c>
      <c r="CQ30" s="2">
        <f t="shared" si="24"/>
        <v>0</v>
      </c>
      <c r="CR30" s="2">
        <f t="shared" si="24"/>
        <v>0</v>
      </c>
      <c r="CS30" s="2">
        <f t="shared" si="24"/>
        <v>0</v>
      </c>
      <c r="CT30" s="2">
        <f t="shared" si="24"/>
        <v>0</v>
      </c>
      <c r="CU30" s="2">
        <f t="shared" si="24"/>
        <v>0</v>
      </c>
      <c r="CV30" s="2">
        <f t="shared" si="24"/>
        <v>0</v>
      </c>
      <c r="CW30" s="2">
        <f t="shared" si="24"/>
        <v>0</v>
      </c>
      <c r="CX30" s="2">
        <f t="shared" si="24"/>
        <v>0</v>
      </c>
      <c r="CY30" s="2">
        <f t="shared" si="24"/>
        <v>0</v>
      </c>
      <c r="CZ30" s="2">
        <f t="shared" si="24"/>
        <v>0</v>
      </c>
      <c r="DA30" s="2">
        <f t="shared" si="24"/>
        <v>0</v>
      </c>
      <c r="DB30" s="2">
        <f t="shared" si="24"/>
        <v>0</v>
      </c>
      <c r="DC30" s="2">
        <f t="shared" si="24"/>
        <v>0</v>
      </c>
      <c r="DD30" s="2">
        <f t="shared" si="24"/>
        <v>0</v>
      </c>
      <c r="DE30" s="2">
        <f t="shared" si="24"/>
        <v>0</v>
      </c>
      <c r="DF30" s="2">
        <f t="shared" si="24"/>
        <v>0</v>
      </c>
      <c r="DG30" s="3">
        <f t="shared" ref="DG30:EL30" si="25">DG54</f>
        <v>0</v>
      </c>
      <c r="DH30" s="3">
        <f t="shared" si="25"/>
        <v>0</v>
      </c>
      <c r="DI30" s="3">
        <f t="shared" si="25"/>
        <v>0</v>
      </c>
      <c r="DJ30" s="3">
        <f t="shared" si="25"/>
        <v>0</v>
      </c>
      <c r="DK30" s="3">
        <f t="shared" si="25"/>
        <v>0</v>
      </c>
      <c r="DL30" s="3">
        <f t="shared" si="25"/>
        <v>0</v>
      </c>
      <c r="DM30" s="3">
        <f t="shared" si="25"/>
        <v>0</v>
      </c>
      <c r="DN30" s="3">
        <f t="shared" si="25"/>
        <v>0</v>
      </c>
      <c r="DO30" s="3">
        <f t="shared" si="25"/>
        <v>0</v>
      </c>
      <c r="DP30" s="3">
        <f t="shared" si="25"/>
        <v>0</v>
      </c>
      <c r="DQ30" s="3">
        <f t="shared" si="25"/>
        <v>0</v>
      </c>
      <c r="DR30" s="3">
        <f t="shared" si="25"/>
        <v>0</v>
      </c>
      <c r="DS30" s="3">
        <f t="shared" si="25"/>
        <v>0</v>
      </c>
      <c r="DT30" s="3">
        <f t="shared" si="25"/>
        <v>0</v>
      </c>
      <c r="DU30" s="3">
        <f t="shared" si="25"/>
        <v>0</v>
      </c>
      <c r="DV30" s="3">
        <f t="shared" si="25"/>
        <v>0</v>
      </c>
      <c r="DW30" s="3">
        <f t="shared" si="25"/>
        <v>0</v>
      </c>
      <c r="DX30" s="3">
        <f t="shared" si="25"/>
        <v>0</v>
      </c>
      <c r="DY30" s="3">
        <f t="shared" si="25"/>
        <v>0</v>
      </c>
      <c r="DZ30" s="3">
        <f t="shared" si="25"/>
        <v>0</v>
      </c>
      <c r="EA30" s="3">
        <f t="shared" si="25"/>
        <v>0</v>
      </c>
      <c r="EB30" s="3">
        <f t="shared" si="25"/>
        <v>0</v>
      </c>
      <c r="EC30" s="3">
        <f t="shared" si="25"/>
        <v>0</v>
      </c>
      <c r="ED30" s="3">
        <f t="shared" si="25"/>
        <v>0</v>
      </c>
      <c r="EE30" s="3">
        <f t="shared" si="25"/>
        <v>0</v>
      </c>
      <c r="EF30" s="3">
        <f t="shared" si="25"/>
        <v>0</v>
      </c>
      <c r="EG30" s="3">
        <f t="shared" si="25"/>
        <v>0</v>
      </c>
      <c r="EH30" s="3">
        <f t="shared" si="25"/>
        <v>0</v>
      </c>
      <c r="EI30" s="3">
        <f t="shared" si="25"/>
        <v>0</v>
      </c>
      <c r="EJ30" s="3">
        <f t="shared" si="25"/>
        <v>0</v>
      </c>
      <c r="EK30" s="3">
        <f t="shared" si="25"/>
        <v>0</v>
      </c>
      <c r="EL30" s="3">
        <f t="shared" si="25"/>
        <v>0</v>
      </c>
      <c r="EM30" s="3">
        <f t="shared" ref="EM30:FR30" si="26">EM54</f>
        <v>0</v>
      </c>
      <c r="EN30" s="3">
        <f t="shared" si="26"/>
        <v>0</v>
      </c>
      <c r="EO30" s="3">
        <f t="shared" si="26"/>
        <v>0</v>
      </c>
      <c r="EP30" s="3">
        <f t="shared" si="26"/>
        <v>0</v>
      </c>
      <c r="EQ30" s="3">
        <f t="shared" si="26"/>
        <v>0</v>
      </c>
      <c r="ER30" s="3">
        <f t="shared" si="26"/>
        <v>0</v>
      </c>
      <c r="ES30" s="3">
        <f t="shared" si="26"/>
        <v>0</v>
      </c>
      <c r="ET30" s="3">
        <f t="shared" si="26"/>
        <v>0</v>
      </c>
      <c r="EU30" s="3">
        <f t="shared" si="26"/>
        <v>0</v>
      </c>
      <c r="EV30" s="3">
        <f t="shared" si="26"/>
        <v>0</v>
      </c>
      <c r="EW30" s="3">
        <f t="shared" si="26"/>
        <v>0</v>
      </c>
      <c r="EX30" s="3">
        <f t="shared" si="26"/>
        <v>0</v>
      </c>
      <c r="EY30" s="3">
        <f t="shared" si="26"/>
        <v>0</v>
      </c>
      <c r="EZ30" s="3">
        <f t="shared" si="26"/>
        <v>0</v>
      </c>
      <c r="FA30" s="3">
        <f t="shared" si="26"/>
        <v>0</v>
      </c>
      <c r="FB30" s="3">
        <f t="shared" si="26"/>
        <v>0</v>
      </c>
      <c r="FC30" s="3">
        <f t="shared" si="26"/>
        <v>0</v>
      </c>
      <c r="FD30" s="3">
        <f t="shared" si="26"/>
        <v>0</v>
      </c>
      <c r="FE30" s="3">
        <f t="shared" si="26"/>
        <v>0</v>
      </c>
      <c r="FF30" s="3">
        <f t="shared" si="26"/>
        <v>0</v>
      </c>
      <c r="FG30" s="3">
        <f t="shared" si="26"/>
        <v>0</v>
      </c>
      <c r="FH30" s="3">
        <f t="shared" si="26"/>
        <v>0</v>
      </c>
      <c r="FI30" s="3">
        <f t="shared" si="26"/>
        <v>0</v>
      </c>
      <c r="FJ30" s="3">
        <f t="shared" si="26"/>
        <v>0</v>
      </c>
      <c r="FK30" s="3">
        <f t="shared" si="26"/>
        <v>0</v>
      </c>
      <c r="FL30" s="3">
        <f t="shared" si="26"/>
        <v>0</v>
      </c>
      <c r="FM30" s="3">
        <f t="shared" si="26"/>
        <v>0</v>
      </c>
      <c r="FN30" s="3">
        <f t="shared" si="26"/>
        <v>0</v>
      </c>
      <c r="FO30" s="3">
        <f t="shared" si="26"/>
        <v>0</v>
      </c>
      <c r="FP30" s="3">
        <f t="shared" si="26"/>
        <v>0</v>
      </c>
      <c r="FQ30" s="3">
        <f t="shared" si="26"/>
        <v>0</v>
      </c>
      <c r="FR30" s="3">
        <f t="shared" si="26"/>
        <v>0</v>
      </c>
      <c r="FS30" s="3">
        <f t="shared" ref="FS30:GX30" si="27">FS54</f>
        <v>0</v>
      </c>
      <c r="FT30" s="3">
        <f t="shared" si="27"/>
        <v>0</v>
      </c>
      <c r="FU30" s="3">
        <f t="shared" si="27"/>
        <v>0</v>
      </c>
      <c r="FV30" s="3">
        <f t="shared" si="27"/>
        <v>0</v>
      </c>
      <c r="FW30" s="3">
        <f t="shared" si="27"/>
        <v>0</v>
      </c>
      <c r="FX30" s="3">
        <f t="shared" si="27"/>
        <v>0</v>
      </c>
      <c r="FY30" s="3">
        <f t="shared" si="27"/>
        <v>0</v>
      </c>
      <c r="FZ30" s="3">
        <f t="shared" si="27"/>
        <v>0</v>
      </c>
      <c r="GA30" s="3">
        <f t="shared" si="27"/>
        <v>0</v>
      </c>
      <c r="GB30" s="3">
        <f t="shared" si="27"/>
        <v>0</v>
      </c>
      <c r="GC30" s="3">
        <f t="shared" si="27"/>
        <v>0</v>
      </c>
      <c r="GD30" s="3">
        <f t="shared" si="27"/>
        <v>0</v>
      </c>
      <c r="GE30" s="3">
        <f t="shared" si="27"/>
        <v>0</v>
      </c>
      <c r="GF30" s="3">
        <f t="shared" si="27"/>
        <v>0</v>
      </c>
      <c r="GG30" s="3">
        <f t="shared" si="27"/>
        <v>0</v>
      </c>
      <c r="GH30" s="3">
        <f t="shared" si="27"/>
        <v>0</v>
      </c>
      <c r="GI30" s="3">
        <f t="shared" si="27"/>
        <v>0</v>
      </c>
      <c r="GJ30" s="3">
        <f t="shared" si="27"/>
        <v>0</v>
      </c>
      <c r="GK30" s="3">
        <f t="shared" si="27"/>
        <v>0</v>
      </c>
      <c r="GL30" s="3">
        <f t="shared" si="27"/>
        <v>0</v>
      </c>
      <c r="GM30" s="3">
        <f t="shared" si="27"/>
        <v>0</v>
      </c>
      <c r="GN30" s="3">
        <f t="shared" si="27"/>
        <v>0</v>
      </c>
      <c r="GO30" s="3">
        <f t="shared" si="27"/>
        <v>0</v>
      </c>
      <c r="GP30" s="3">
        <f t="shared" si="27"/>
        <v>0</v>
      </c>
      <c r="GQ30" s="3">
        <f t="shared" si="27"/>
        <v>0</v>
      </c>
      <c r="GR30" s="3">
        <f t="shared" si="27"/>
        <v>0</v>
      </c>
      <c r="GS30" s="3">
        <f t="shared" si="27"/>
        <v>0</v>
      </c>
      <c r="GT30" s="3">
        <f t="shared" si="27"/>
        <v>0</v>
      </c>
      <c r="GU30" s="3">
        <f t="shared" si="27"/>
        <v>0</v>
      </c>
      <c r="GV30" s="3">
        <f t="shared" si="27"/>
        <v>0</v>
      </c>
      <c r="GW30" s="3">
        <f t="shared" si="27"/>
        <v>0</v>
      </c>
      <c r="GX30" s="3">
        <f t="shared" si="27"/>
        <v>0</v>
      </c>
    </row>
    <row r="32" spans="1:245" x14ac:dyDescent="0.2">
      <c r="A32">
        <v>17</v>
      </c>
      <c r="B32">
        <v>1</v>
      </c>
      <c r="D32">
        <f>ROW(EtalonRes!A1)</f>
        <v>1</v>
      </c>
      <c r="E32" t="s">
        <v>3</v>
      </c>
      <c r="F32" t="s">
        <v>16</v>
      </c>
      <c r="G32" t="s">
        <v>17</v>
      </c>
      <c r="H32" t="s">
        <v>18</v>
      </c>
      <c r="I32">
        <f>ROUND((60+10+30)*7*0.1/100,9)</f>
        <v>0.7</v>
      </c>
      <c r="J32">
        <v>0</v>
      </c>
      <c r="K32">
        <f>ROUND((60+10+30)*7*0.1/100,9)</f>
        <v>0.7</v>
      </c>
      <c r="O32">
        <f t="shared" ref="O32:O52" si="28">ROUND(CP32,2)</f>
        <v>1416.66</v>
      </c>
      <c r="P32">
        <f t="shared" ref="P32:P52" si="29">ROUND(CQ32*I32,2)</f>
        <v>0</v>
      </c>
      <c r="Q32">
        <f t="shared" ref="Q32:Q52" si="30">ROUND(CR32*I32,2)</f>
        <v>0</v>
      </c>
      <c r="R32">
        <f t="shared" ref="R32:R52" si="31">ROUND(CS32*I32,2)</f>
        <v>0</v>
      </c>
      <c r="S32">
        <f t="shared" ref="S32:S52" si="32">ROUND(CT32*I32,2)</f>
        <v>1416.66</v>
      </c>
      <c r="T32">
        <f t="shared" ref="T32:T52" si="33">ROUND(CU32*I32,2)</f>
        <v>0</v>
      </c>
      <c r="U32">
        <f t="shared" ref="U32:U52" si="34">CV32*I32</f>
        <v>2.52</v>
      </c>
      <c r="V32">
        <f t="shared" ref="V32:V52" si="35">CW32*I32</f>
        <v>0</v>
      </c>
      <c r="W32">
        <f t="shared" ref="W32:W52" si="36">ROUND(CX32*I32,2)</f>
        <v>0</v>
      </c>
      <c r="X32">
        <f t="shared" ref="X32:X52" si="37">ROUND(CY32,2)</f>
        <v>991.66</v>
      </c>
      <c r="Y32">
        <f t="shared" ref="Y32:Y52" si="38">ROUND(CZ32,2)</f>
        <v>141.66999999999999</v>
      </c>
      <c r="AA32">
        <v>-1</v>
      </c>
      <c r="AB32">
        <f t="shared" ref="AB32:AB52" si="39">ROUND((AC32+AD32+AF32),6)</f>
        <v>2023.8</v>
      </c>
      <c r="AC32">
        <f>ROUND(((ES32*4)),6)</f>
        <v>0</v>
      </c>
      <c r="AD32">
        <f>ROUND(((((ET32*4))-((EU32*4)))+AE32),6)</f>
        <v>0</v>
      </c>
      <c r="AE32">
        <f>ROUND(((EU32*4)),6)</f>
        <v>0</v>
      </c>
      <c r="AF32">
        <f>ROUND(((EV32*4)),6)</f>
        <v>2023.8</v>
      </c>
      <c r="AG32">
        <f t="shared" ref="AG32:AG52" si="40">ROUND((AP32),6)</f>
        <v>0</v>
      </c>
      <c r="AH32">
        <f>((EW32*4))</f>
        <v>3.6</v>
      </c>
      <c r="AI32">
        <f>((EX32*4))</f>
        <v>0</v>
      </c>
      <c r="AJ32">
        <f t="shared" ref="AJ32:AJ52" si="41">(AS32)</f>
        <v>0</v>
      </c>
      <c r="AK32">
        <v>505.95</v>
      </c>
      <c r="AL32">
        <v>0</v>
      </c>
      <c r="AM32">
        <v>0</v>
      </c>
      <c r="AN32">
        <v>0</v>
      </c>
      <c r="AO32">
        <v>505.95</v>
      </c>
      <c r="AP32">
        <v>0</v>
      </c>
      <c r="AQ32">
        <v>0.9</v>
      </c>
      <c r="AR32">
        <v>0</v>
      </c>
      <c r="AS32">
        <v>0</v>
      </c>
      <c r="AT32">
        <v>70</v>
      </c>
      <c r="AU32">
        <v>10</v>
      </c>
      <c r="AV32">
        <v>1</v>
      </c>
      <c r="AW32">
        <v>1</v>
      </c>
      <c r="AZ32">
        <v>1</v>
      </c>
      <c r="BA32">
        <v>1</v>
      </c>
      <c r="BB32">
        <v>1</v>
      </c>
      <c r="BC32">
        <v>1</v>
      </c>
      <c r="BD32" t="s">
        <v>3</v>
      </c>
      <c r="BE32" t="s">
        <v>3</v>
      </c>
      <c r="BF32" t="s">
        <v>3</v>
      </c>
      <c r="BG32" t="s">
        <v>3</v>
      </c>
      <c r="BH32">
        <v>0</v>
      </c>
      <c r="BI32">
        <v>4</v>
      </c>
      <c r="BJ32" t="s">
        <v>19</v>
      </c>
      <c r="BM32">
        <v>0</v>
      </c>
      <c r="BN32">
        <v>0</v>
      </c>
      <c r="BO32" t="s">
        <v>3</v>
      </c>
      <c r="BP32">
        <v>0</v>
      </c>
      <c r="BQ32">
        <v>1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70</v>
      </c>
      <c r="CA32">
        <v>10</v>
      </c>
      <c r="CB32" t="s">
        <v>3</v>
      </c>
      <c r="CE32">
        <v>0</v>
      </c>
      <c r="CF32">
        <v>0</v>
      </c>
      <c r="CG32">
        <v>0</v>
      </c>
      <c r="CM32">
        <v>0</v>
      </c>
      <c r="CN32" t="s">
        <v>3</v>
      </c>
      <c r="CO32">
        <v>0</v>
      </c>
      <c r="CP32">
        <f t="shared" ref="CP32:CP52" si="42">(P32+Q32+S32)</f>
        <v>1416.66</v>
      </c>
      <c r="CQ32">
        <f t="shared" ref="CQ32:CQ52" si="43">(AC32*BC32*AW32)</f>
        <v>0</v>
      </c>
      <c r="CR32">
        <f>(((((ET32*4))*BB32-((EU32*4))*BS32)+AE32*BS32)*AV32)</f>
        <v>0</v>
      </c>
      <c r="CS32">
        <f t="shared" ref="CS32:CS52" si="44">(AE32*BS32*AV32)</f>
        <v>0</v>
      </c>
      <c r="CT32">
        <f t="shared" ref="CT32:CT52" si="45">(AF32*BA32*AV32)</f>
        <v>2023.8</v>
      </c>
      <c r="CU32">
        <f t="shared" ref="CU32:CU52" si="46">AG32</f>
        <v>0</v>
      </c>
      <c r="CV32">
        <f t="shared" ref="CV32:CV52" si="47">(AH32*AV32)</f>
        <v>3.6</v>
      </c>
      <c r="CW32">
        <f t="shared" ref="CW32:CW52" si="48">AI32</f>
        <v>0</v>
      </c>
      <c r="CX32">
        <f t="shared" ref="CX32:CX52" si="49">AJ32</f>
        <v>0</v>
      </c>
      <c r="CY32">
        <f t="shared" ref="CY32:CY52" si="50">((S32*BZ32)/100)</f>
        <v>991.66200000000015</v>
      </c>
      <c r="CZ32">
        <f t="shared" ref="CZ32:CZ52" si="51">((S32*CA32)/100)</f>
        <v>141.666</v>
      </c>
      <c r="DC32" t="s">
        <v>3</v>
      </c>
      <c r="DD32" t="s">
        <v>20</v>
      </c>
      <c r="DE32" t="s">
        <v>20</v>
      </c>
      <c r="DF32" t="s">
        <v>20</v>
      </c>
      <c r="DG32" t="s">
        <v>20</v>
      </c>
      <c r="DH32" t="s">
        <v>3</v>
      </c>
      <c r="DI32" t="s">
        <v>20</v>
      </c>
      <c r="DJ32" t="s">
        <v>20</v>
      </c>
      <c r="DK32" t="s">
        <v>3</v>
      </c>
      <c r="DL32" t="s">
        <v>3</v>
      </c>
      <c r="DM32" t="s">
        <v>3</v>
      </c>
      <c r="DN32">
        <v>0</v>
      </c>
      <c r="DO32">
        <v>0</v>
      </c>
      <c r="DP32">
        <v>1</v>
      </c>
      <c r="DQ32">
        <v>1</v>
      </c>
      <c r="DU32">
        <v>1003</v>
      </c>
      <c r="DV32" t="s">
        <v>18</v>
      </c>
      <c r="DW32" t="s">
        <v>18</v>
      </c>
      <c r="DX32">
        <v>100</v>
      </c>
      <c r="DZ32" t="s">
        <v>3</v>
      </c>
      <c r="EA32" t="s">
        <v>3</v>
      </c>
      <c r="EB32" t="s">
        <v>3</v>
      </c>
      <c r="EC32" t="s">
        <v>3</v>
      </c>
      <c r="EE32">
        <v>1441815344</v>
      </c>
      <c r="EF32">
        <v>1</v>
      </c>
      <c r="EG32" t="s">
        <v>21</v>
      </c>
      <c r="EH32">
        <v>0</v>
      </c>
      <c r="EI32" t="s">
        <v>3</v>
      </c>
      <c r="EJ32">
        <v>4</v>
      </c>
      <c r="EK32">
        <v>0</v>
      </c>
      <c r="EL32" t="s">
        <v>22</v>
      </c>
      <c r="EM32" t="s">
        <v>23</v>
      </c>
      <c r="EO32" t="s">
        <v>3</v>
      </c>
      <c r="EQ32">
        <v>1024</v>
      </c>
      <c r="ER32">
        <v>505.95</v>
      </c>
      <c r="ES32">
        <v>0</v>
      </c>
      <c r="ET32">
        <v>0</v>
      </c>
      <c r="EU32">
        <v>0</v>
      </c>
      <c r="EV32">
        <v>505.95</v>
      </c>
      <c r="EW32">
        <v>0.9</v>
      </c>
      <c r="EX32">
        <v>0</v>
      </c>
      <c r="EY32">
        <v>0</v>
      </c>
      <c r="FQ32">
        <v>0</v>
      </c>
      <c r="FR32">
        <f t="shared" ref="FR32:FR52" si="52">ROUND(IF(BI32=3,GM32,0),2)</f>
        <v>0</v>
      </c>
      <c r="FS32">
        <v>0</v>
      </c>
      <c r="FX32">
        <v>70</v>
      </c>
      <c r="FY32">
        <v>10</v>
      </c>
      <c r="GA32" t="s">
        <v>3</v>
      </c>
      <c r="GD32">
        <v>0</v>
      </c>
      <c r="GF32">
        <v>-341239612</v>
      </c>
      <c r="GG32">
        <v>2</v>
      </c>
      <c r="GH32">
        <v>1</v>
      </c>
      <c r="GI32">
        <v>-2</v>
      </c>
      <c r="GJ32">
        <v>0</v>
      </c>
      <c r="GK32">
        <f>ROUND(R32*(R12)/100,2)</f>
        <v>0</v>
      </c>
      <c r="GL32">
        <f t="shared" ref="GL32:GL52" si="53">ROUND(IF(AND(BH32=3,BI32=3,FS32&lt;&gt;0),P32,0),2)</f>
        <v>0</v>
      </c>
      <c r="GM32">
        <f t="shared" ref="GM32:GM52" si="54">ROUND(O32+X32+Y32+GK32,2)+GX32</f>
        <v>2549.9899999999998</v>
      </c>
      <c r="GN32">
        <f t="shared" ref="GN32:GN52" si="55">IF(OR(BI32=0,BI32=1),GM32-GX32,0)</f>
        <v>0</v>
      </c>
      <c r="GO32">
        <f t="shared" ref="GO32:GO52" si="56">IF(BI32=2,GM32-GX32,0)</f>
        <v>0</v>
      </c>
      <c r="GP32">
        <f t="shared" ref="GP32:GP52" si="57">IF(BI32=4,GM32-GX32,0)</f>
        <v>2549.9899999999998</v>
      </c>
      <c r="GR32">
        <v>0</v>
      </c>
      <c r="GS32">
        <v>3</v>
      </c>
      <c r="GT32">
        <v>0</v>
      </c>
      <c r="GU32" t="s">
        <v>3</v>
      </c>
      <c r="GV32">
        <f t="shared" ref="GV32:GV52" si="58">ROUND((GT32),6)</f>
        <v>0</v>
      </c>
      <c r="GW32">
        <v>1</v>
      </c>
      <c r="GX32">
        <f t="shared" ref="GX32:GX52" si="59">ROUND(HC32*I32,2)</f>
        <v>0</v>
      </c>
      <c r="HA32">
        <v>0</v>
      </c>
      <c r="HB32">
        <v>0</v>
      </c>
      <c r="HC32">
        <f t="shared" ref="HC32:HC52" si="60">GV32*GW32</f>
        <v>0</v>
      </c>
      <c r="HE32" t="s">
        <v>3</v>
      </c>
      <c r="HF32" t="s">
        <v>3</v>
      </c>
      <c r="HM32" t="s">
        <v>3</v>
      </c>
      <c r="HN32" t="s">
        <v>3</v>
      </c>
      <c r="HO32" t="s">
        <v>3</v>
      </c>
      <c r="HP32" t="s">
        <v>3</v>
      </c>
      <c r="HQ32" t="s">
        <v>3</v>
      </c>
      <c r="IK32">
        <v>0</v>
      </c>
    </row>
    <row r="33" spans="1:245" x14ac:dyDescent="0.2">
      <c r="A33">
        <v>17</v>
      </c>
      <c r="B33">
        <v>1</v>
      </c>
      <c r="D33">
        <f>ROW(EtalonRes!A2)</f>
        <v>2</v>
      </c>
      <c r="E33" t="s">
        <v>3</v>
      </c>
      <c r="F33" t="s">
        <v>24</v>
      </c>
      <c r="G33" t="s">
        <v>25</v>
      </c>
      <c r="H33" t="s">
        <v>18</v>
      </c>
      <c r="I33">
        <f>ROUND(((60+10+30)*0.75)*7/100,9)</f>
        <v>5.25</v>
      </c>
      <c r="J33">
        <v>0</v>
      </c>
      <c r="K33">
        <f>ROUND(((60+10+30)*0.75)*7/100,9)</f>
        <v>5.25</v>
      </c>
      <c r="O33">
        <f t="shared" si="28"/>
        <v>62333.46</v>
      </c>
      <c r="P33">
        <f t="shared" si="29"/>
        <v>0</v>
      </c>
      <c r="Q33">
        <f t="shared" si="30"/>
        <v>0</v>
      </c>
      <c r="R33">
        <f t="shared" si="31"/>
        <v>0</v>
      </c>
      <c r="S33">
        <f t="shared" si="32"/>
        <v>62333.46</v>
      </c>
      <c r="T33">
        <f t="shared" si="33"/>
        <v>0</v>
      </c>
      <c r="U33">
        <f t="shared" si="34"/>
        <v>110.88000000000001</v>
      </c>
      <c r="V33">
        <f t="shared" si="35"/>
        <v>0</v>
      </c>
      <c r="W33">
        <f t="shared" si="36"/>
        <v>0</v>
      </c>
      <c r="X33">
        <f t="shared" si="37"/>
        <v>43633.42</v>
      </c>
      <c r="Y33">
        <f t="shared" si="38"/>
        <v>6233.35</v>
      </c>
      <c r="AA33">
        <v>-1</v>
      </c>
      <c r="AB33">
        <f t="shared" si="39"/>
        <v>11873.04</v>
      </c>
      <c r="AC33">
        <f>ROUND((ES33),6)</f>
        <v>0</v>
      </c>
      <c r="AD33">
        <f>ROUND((((ET33)-(EU33))+AE33),6)</f>
        <v>0</v>
      </c>
      <c r="AE33">
        <f>ROUND((EU33),6)</f>
        <v>0</v>
      </c>
      <c r="AF33">
        <f>ROUND(((EV33*8)),6)</f>
        <v>11873.04</v>
      </c>
      <c r="AG33">
        <f t="shared" si="40"/>
        <v>0</v>
      </c>
      <c r="AH33">
        <f>((EW33*8))</f>
        <v>21.12</v>
      </c>
      <c r="AI33">
        <f>(EX33)</f>
        <v>0</v>
      </c>
      <c r="AJ33">
        <f t="shared" si="41"/>
        <v>0</v>
      </c>
      <c r="AK33">
        <v>1484.13</v>
      </c>
      <c r="AL33">
        <v>0</v>
      </c>
      <c r="AM33">
        <v>0</v>
      </c>
      <c r="AN33">
        <v>0</v>
      </c>
      <c r="AO33">
        <v>1484.13</v>
      </c>
      <c r="AP33">
        <v>0</v>
      </c>
      <c r="AQ33">
        <v>2.64</v>
      </c>
      <c r="AR33">
        <v>0</v>
      </c>
      <c r="AS33">
        <v>0</v>
      </c>
      <c r="AT33">
        <v>70</v>
      </c>
      <c r="AU33">
        <v>10</v>
      </c>
      <c r="AV33">
        <v>1</v>
      </c>
      <c r="AW33">
        <v>1</v>
      </c>
      <c r="AZ33">
        <v>1</v>
      </c>
      <c r="BA33">
        <v>1</v>
      </c>
      <c r="BB33">
        <v>1</v>
      </c>
      <c r="BC33">
        <v>1</v>
      </c>
      <c r="BD33" t="s">
        <v>3</v>
      </c>
      <c r="BE33" t="s">
        <v>3</v>
      </c>
      <c r="BF33" t="s">
        <v>3</v>
      </c>
      <c r="BG33" t="s">
        <v>3</v>
      </c>
      <c r="BH33">
        <v>0</v>
      </c>
      <c r="BI33">
        <v>4</v>
      </c>
      <c r="BJ33" t="s">
        <v>26</v>
      </c>
      <c r="BM33">
        <v>0</v>
      </c>
      <c r="BN33">
        <v>0</v>
      </c>
      <c r="BO33" t="s">
        <v>3</v>
      </c>
      <c r="BP33">
        <v>0</v>
      </c>
      <c r="BQ33">
        <v>1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70</v>
      </c>
      <c r="CA33">
        <v>10</v>
      </c>
      <c r="CB33" t="s">
        <v>3</v>
      </c>
      <c r="CE33">
        <v>0</v>
      </c>
      <c r="CF33">
        <v>0</v>
      </c>
      <c r="CG33">
        <v>0</v>
      </c>
      <c r="CM33">
        <v>0</v>
      </c>
      <c r="CN33" t="s">
        <v>3</v>
      </c>
      <c r="CO33">
        <v>0</v>
      </c>
      <c r="CP33">
        <f t="shared" si="42"/>
        <v>62333.46</v>
      </c>
      <c r="CQ33">
        <f t="shared" si="43"/>
        <v>0</v>
      </c>
      <c r="CR33">
        <f>((((ET33)*BB33-(EU33)*BS33)+AE33*BS33)*AV33)</f>
        <v>0</v>
      </c>
      <c r="CS33">
        <f t="shared" si="44"/>
        <v>0</v>
      </c>
      <c r="CT33">
        <f t="shared" si="45"/>
        <v>11873.04</v>
      </c>
      <c r="CU33">
        <f t="shared" si="46"/>
        <v>0</v>
      </c>
      <c r="CV33">
        <f t="shared" si="47"/>
        <v>21.12</v>
      </c>
      <c r="CW33">
        <f t="shared" si="48"/>
        <v>0</v>
      </c>
      <c r="CX33">
        <f t="shared" si="49"/>
        <v>0</v>
      </c>
      <c r="CY33">
        <f t="shared" si="50"/>
        <v>43633.421999999999</v>
      </c>
      <c r="CZ33">
        <f t="shared" si="51"/>
        <v>6233.3459999999995</v>
      </c>
      <c r="DC33" t="s">
        <v>3</v>
      </c>
      <c r="DD33" t="s">
        <v>3</v>
      </c>
      <c r="DE33" t="s">
        <v>3</v>
      </c>
      <c r="DF33" t="s">
        <v>3</v>
      </c>
      <c r="DG33" t="s">
        <v>27</v>
      </c>
      <c r="DH33" t="s">
        <v>3</v>
      </c>
      <c r="DI33" t="s">
        <v>27</v>
      </c>
      <c r="DJ33" t="s">
        <v>3</v>
      </c>
      <c r="DK33" t="s">
        <v>3</v>
      </c>
      <c r="DL33" t="s">
        <v>3</v>
      </c>
      <c r="DM33" t="s">
        <v>3</v>
      </c>
      <c r="DN33">
        <v>0</v>
      </c>
      <c r="DO33">
        <v>0</v>
      </c>
      <c r="DP33">
        <v>1</v>
      </c>
      <c r="DQ33">
        <v>1</v>
      </c>
      <c r="DU33">
        <v>1003</v>
      </c>
      <c r="DV33" t="s">
        <v>18</v>
      </c>
      <c r="DW33" t="s">
        <v>18</v>
      </c>
      <c r="DX33">
        <v>100</v>
      </c>
      <c r="DZ33" t="s">
        <v>3</v>
      </c>
      <c r="EA33" t="s">
        <v>3</v>
      </c>
      <c r="EB33" t="s">
        <v>3</v>
      </c>
      <c r="EC33" t="s">
        <v>3</v>
      </c>
      <c r="EE33">
        <v>1441815344</v>
      </c>
      <c r="EF33">
        <v>1</v>
      </c>
      <c r="EG33" t="s">
        <v>21</v>
      </c>
      <c r="EH33">
        <v>0</v>
      </c>
      <c r="EI33" t="s">
        <v>3</v>
      </c>
      <c r="EJ33">
        <v>4</v>
      </c>
      <c r="EK33">
        <v>0</v>
      </c>
      <c r="EL33" t="s">
        <v>22</v>
      </c>
      <c r="EM33" t="s">
        <v>23</v>
      </c>
      <c r="EO33" t="s">
        <v>3</v>
      </c>
      <c r="EQ33">
        <v>1024</v>
      </c>
      <c r="ER33">
        <v>1484.13</v>
      </c>
      <c r="ES33">
        <v>0</v>
      </c>
      <c r="ET33">
        <v>0</v>
      </c>
      <c r="EU33">
        <v>0</v>
      </c>
      <c r="EV33">
        <v>1484.13</v>
      </c>
      <c r="EW33">
        <v>2.64</v>
      </c>
      <c r="EX33">
        <v>0</v>
      </c>
      <c r="EY33">
        <v>0</v>
      </c>
      <c r="FQ33">
        <v>0</v>
      </c>
      <c r="FR33">
        <f t="shared" si="52"/>
        <v>0</v>
      </c>
      <c r="FS33">
        <v>0</v>
      </c>
      <c r="FX33">
        <v>70</v>
      </c>
      <c r="FY33">
        <v>10</v>
      </c>
      <c r="GA33" t="s">
        <v>3</v>
      </c>
      <c r="GD33">
        <v>0</v>
      </c>
      <c r="GF33">
        <v>1802126441</v>
      </c>
      <c r="GG33">
        <v>2</v>
      </c>
      <c r="GH33">
        <v>1</v>
      </c>
      <c r="GI33">
        <v>-2</v>
      </c>
      <c r="GJ33">
        <v>0</v>
      </c>
      <c r="GK33">
        <f>ROUND(R33*(R12)/100,2)</f>
        <v>0</v>
      </c>
      <c r="GL33">
        <f t="shared" si="53"/>
        <v>0</v>
      </c>
      <c r="GM33">
        <f t="shared" si="54"/>
        <v>112200.23</v>
      </c>
      <c r="GN33">
        <f t="shared" si="55"/>
        <v>0</v>
      </c>
      <c r="GO33">
        <f t="shared" si="56"/>
        <v>0</v>
      </c>
      <c r="GP33">
        <f t="shared" si="57"/>
        <v>112200.23</v>
      </c>
      <c r="GR33">
        <v>0</v>
      </c>
      <c r="GS33">
        <v>3</v>
      </c>
      <c r="GT33">
        <v>0</v>
      </c>
      <c r="GU33" t="s">
        <v>3</v>
      </c>
      <c r="GV33">
        <f t="shared" si="58"/>
        <v>0</v>
      </c>
      <c r="GW33">
        <v>1</v>
      </c>
      <c r="GX33">
        <f t="shared" si="59"/>
        <v>0</v>
      </c>
      <c r="HA33">
        <v>0</v>
      </c>
      <c r="HB33">
        <v>0</v>
      </c>
      <c r="HC33">
        <f t="shared" si="60"/>
        <v>0</v>
      </c>
      <c r="HE33" t="s">
        <v>3</v>
      </c>
      <c r="HF33" t="s">
        <v>3</v>
      </c>
      <c r="HM33" t="s">
        <v>3</v>
      </c>
      <c r="HN33" t="s">
        <v>3</v>
      </c>
      <c r="HO33" t="s">
        <v>3</v>
      </c>
      <c r="HP33" t="s">
        <v>3</v>
      </c>
      <c r="HQ33" t="s">
        <v>3</v>
      </c>
      <c r="IK33">
        <v>0</v>
      </c>
    </row>
    <row r="34" spans="1:245" x14ac:dyDescent="0.2">
      <c r="A34">
        <v>17</v>
      </c>
      <c r="B34">
        <v>1</v>
      </c>
      <c r="D34">
        <f>ROW(EtalonRes!A3)</f>
        <v>3</v>
      </c>
      <c r="E34" t="s">
        <v>28</v>
      </c>
      <c r="F34" t="s">
        <v>29</v>
      </c>
      <c r="G34" t="s">
        <v>30</v>
      </c>
      <c r="H34" t="s">
        <v>31</v>
      </c>
      <c r="I34">
        <f>ROUND(3*7,9)</f>
        <v>21</v>
      </c>
      <c r="J34">
        <v>0</v>
      </c>
      <c r="K34">
        <f>ROUND(3*7,9)</f>
        <v>21</v>
      </c>
      <c r="O34">
        <f t="shared" si="28"/>
        <v>5835.27</v>
      </c>
      <c r="P34">
        <f t="shared" si="29"/>
        <v>0</v>
      </c>
      <c r="Q34">
        <f t="shared" si="30"/>
        <v>0</v>
      </c>
      <c r="R34">
        <f t="shared" si="31"/>
        <v>0</v>
      </c>
      <c r="S34">
        <f t="shared" si="32"/>
        <v>5835.27</v>
      </c>
      <c r="T34">
        <f t="shared" si="33"/>
        <v>0</v>
      </c>
      <c r="U34">
        <f t="shared" si="34"/>
        <v>9.4500000000000011</v>
      </c>
      <c r="V34">
        <f t="shared" si="35"/>
        <v>0</v>
      </c>
      <c r="W34">
        <f t="shared" si="36"/>
        <v>0</v>
      </c>
      <c r="X34">
        <f t="shared" si="37"/>
        <v>4084.69</v>
      </c>
      <c r="Y34">
        <f t="shared" si="38"/>
        <v>583.53</v>
      </c>
      <c r="AA34">
        <v>1471718271</v>
      </c>
      <c r="AB34">
        <f t="shared" si="39"/>
        <v>277.87</v>
      </c>
      <c r="AC34">
        <f>ROUND((ES34),6)</f>
        <v>0</v>
      </c>
      <c r="AD34">
        <f>ROUND((((ET34)-(EU34))+AE34),6)</f>
        <v>0</v>
      </c>
      <c r="AE34">
        <f>ROUND((EU34),6)</f>
        <v>0</v>
      </c>
      <c r="AF34">
        <f>ROUND((EV34),6)</f>
        <v>277.87</v>
      </c>
      <c r="AG34">
        <f t="shared" si="40"/>
        <v>0</v>
      </c>
      <c r="AH34">
        <f>(EW34)</f>
        <v>0.45</v>
      </c>
      <c r="AI34">
        <f>(EX34)</f>
        <v>0</v>
      </c>
      <c r="AJ34">
        <f t="shared" si="41"/>
        <v>0</v>
      </c>
      <c r="AK34">
        <v>277.87</v>
      </c>
      <c r="AL34">
        <v>0</v>
      </c>
      <c r="AM34">
        <v>0</v>
      </c>
      <c r="AN34">
        <v>0</v>
      </c>
      <c r="AO34">
        <v>277.87</v>
      </c>
      <c r="AP34">
        <v>0</v>
      </c>
      <c r="AQ34">
        <v>0.45</v>
      </c>
      <c r="AR34">
        <v>0</v>
      </c>
      <c r="AS34">
        <v>0</v>
      </c>
      <c r="AT34">
        <v>70</v>
      </c>
      <c r="AU34">
        <v>10</v>
      </c>
      <c r="AV34">
        <v>1</v>
      </c>
      <c r="AW34">
        <v>1</v>
      </c>
      <c r="AZ34">
        <v>1</v>
      </c>
      <c r="BA34">
        <v>1</v>
      </c>
      <c r="BB34">
        <v>1</v>
      </c>
      <c r="BC34">
        <v>1</v>
      </c>
      <c r="BD34" t="s">
        <v>3</v>
      </c>
      <c r="BE34" t="s">
        <v>3</v>
      </c>
      <c r="BF34" t="s">
        <v>3</v>
      </c>
      <c r="BG34" t="s">
        <v>3</v>
      </c>
      <c r="BH34">
        <v>0</v>
      </c>
      <c r="BI34">
        <v>4</v>
      </c>
      <c r="BJ34" t="s">
        <v>32</v>
      </c>
      <c r="BM34">
        <v>0</v>
      </c>
      <c r="BN34">
        <v>0</v>
      </c>
      <c r="BO34" t="s">
        <v>3</v>
      </c>
      <c r="BP34">
        <v>0</v>
      </c>
      <c r="BQ34">
        <v>1</v>
      </c>
      <c r="BR34">
        <v>0</v>
      </c>
      <c r="BS34">
        <v>1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3</v>
      </c>
      <c r="BZ34">
        <v>70</v>
      </c>
      <c r="CA34">
        <v>10</v>
      </c>
      <c r="CB34" t="s">
        <v>3</v>
      </c>
      <c r="CE34">
        <v>0</v>
      </c>
      <c r="CF34">
        <v>0</v>
      </c>
      <c r="CG34">
        <v>0</v>
      </c>
      <c r="CM34">
        <v>0</v>
      </c>
      <c r="CN34" t="s">
        <v>3</v>
      </c>
      <c r="CO34">
        <v>0</v>
      </c>
      <c r="CP34">
        <f t="shared" si="42"/>
        <v>5835.27</v>
      </c>
      <c r="CQ34">
        <f t="shared" si="43"/>
        <v>0</v>
      </c>
      <c r="CR34">
        <f>((((ET34)*BB34-(EU34)*BS34)+AE34*BS34)*AV34)</f>
        <v>0</v>
      </c>
      <c r="CS34">
        <f t="shared" si="44"/>
        <v>0</v>
      </c>
      <c r="CT34">
        <f t="shared" si="45"/>
        <v>277.87</v>
      </c>
      <c r="CU34">
        <f t="shared" si="46"/>
        <v>0</v>
      </c>
      <c r="CV34">
        <f t="shared" si="47"/>
        <v>0.45</v>
      </c>
      <c r="CW34">
        <f t="shared" si="48"/>
        <v>0</v>
      </c>
      <c r="CX34">
        <f t="shared" si="49"/>
        <v>0</v>
      </c>
      <c r="CY34">
        <f t="shared" si="50"/>
        <v>4084.6890000000003</v>
      </c>
      <c r="CZ34">
        <f t="shared" si="51"/>
        <v>583.52700000000004</v>
      </c>
      <c r="DC34" t="s">
        <v>3</v>
      </c>
      <c r="DD34" t="s">
        <v>3</v>
      </c>
      <c r="DE34" t="s">
        <v>3</v>
      </c>
      <c r="DF34" t="s">
        <v>3</v>
      </c>
      <c r="DG34" t="s">
        <v>3</v>
      </c>
      <c r="DH34" t="s">
        <v>3</v>
      </c>
      <c r="DI34" t="s">
        <v>3</v>
      </c>
      <c r="DJ34" t="s">
        <v>3</v>
      </c>
      <c r="DK34" t="s">
        <v>3</v>
      </c>
      <c r="DL34" t="s">
        <v>3</v>
      </c>
      <c r="DM34" t="s">
        <v>3</v>
      </c>
      <c r="DN34">
        <v>0</v>
      </c>
      <c r="DO34">
        <v>0</v>
      </c>
      <c r="DP34">
        <v>1</v>
      </c>
      <c r="DQ34">
        <v>1</v>
      </c>
      <c r="DU34">
        <v>16987630</v>
      </c>
      <c r="DV34" t="s">
        <v>31</v>
      </c>
      <c r="DW34" t="s">
        <v>31</v>
      </c>
      <c r="DX34">
        <v>10</v>
      </c>
      <c r="DZ34" t="s">
        <v>3</v>
      </c>
      <c r="EA34" t="s">
        <v>3</v>
      </c>
      <c r="EB34" t="s">
        <v>3</v>
      </c>
      <c r="EC34" t="s">
        <v>3</v>
      </c>
      <c r="EE34">
        <v>1441815344</v>
      </c>
      <c r="EF34">
        <v>1</v>
      </c>
      <c r="EG34" t="s">
        <v>21</v>
      </c>
      <c r="EH34">
        <v>0</v>
      </c>
      <c r="EI34" t="s">
        <v>3</v>
      </c>
      <c r="EJ34">
        <v>4</v>
      </c>
      <c r="EK34">
        <v>0</v>
      </c>
      <c r="EL34" t="s">
        <v>22</v>
      </c>
      <c r="EM34" t="s">
        <v>23</v>
      </c>
      <c r="EO34" t="s">
        <v>3</v>
      </c>
      <c r="EQ34">
        <v>0</v>
      </c>
      <c r="ER34">
        <v>277.87</v>
      </c>
      <c r="ES34">
        <v>0</v>
      </c>
      <c r="ET34">
        <v>0</v>
      </c>
      <c r="EU34">
        <v>0</v>
      </c>
      <c r="EV34">
        <v>277.87</v>
      </c>
      <c r="EW34">
        <v>0.45</v>
      </c>
      <c r="EX34">
        <v>0</v>
      </c>
      <c r="EY34">
        <v>0</v>
      </c>
      <c r="FQ34">
        <v>0</v>
      </c>
      <c r="FR34">
        <f t="shared" si="52"/>
        <v>0</v>
      </c>
      <c r="FS34">
        <v>0</v>
      </c>
      <c r="FX34">
        <v>70</v>
      </c>
      <c r="FY34">
        <v>10</v>
      </c>
      <c r="GA34" t="s">
        <v>3</v>
      </c>
      <c r="GD34">
        <v>0</v>
      </c>
      <c r="GF34">
        <v>-559430364</v>
      </c>
      <c r="GG34">
        <v>2</v>
      </c>
      <c r="GH34">
        <v>1</v>
      </c>
      <c r="GI34">
        <v>-2</v>
      </c>
      <c r="GJ34">
        <v>0</v>
      </c>
      <c r="GK34">
        <f>ROUND(R34*(R12)/100,2)</f>
        <v>0</v>
      </c>
      <c r="GL34">
        <f t="shared" si="53"/>
        <v>0</v>
      </c>
      <c r="GM34">
        <f t="shared" si="54"/>
        <v>10503.49</v>
      </c>
      <c r="GN34">
        <f t="shared" si="55"/>
        <v>0</v>
      </c>
      <c r="GO34">
        <f t="shared" si="56"/>
        <v>0</v>
      </c>
      <c r="GP34">
        <f t="shared" si="57"/>
        <v>10503.49</v>
      </c>
      <c r="GR34">
        <v>0</v>
      </c>
      <c r="GS34">
        <v>3</v>
      </c>
      <c r="GT34">
        <v>0</v>
      </c>
      <c r="GU34" t="s">
        <v>3</v>
      </c>
      <c r="GV34">
        <f t="shared" si="58"/>
        <v>0</v>
      </c>
      <c r="GW34">
        <v>1</v>
      </c>
      <c r="GX34">
        <f t="shared" si="59"/>
        <v>0</v>
      </c>
      <c r="HA34">
        <v>0</v>
      </c>
      <c r="HB34">
        <v>0</v>
      </c>
      <c r="HC34">
        <f t="shared" si="60"/>
        <v>0</v>
      </c>
      <c r="HE34" t="s">
        <v>3</v>
      </c>
      <c r="HF34" t="s">
        <v>3</v>
      </c>
      <c r="HM34" t="s">
        <v>3</v>
      </c>
      <c r="HN34" t="s">
        <v>3</v>
      </c>
      <c r="HO34" t="s">
        <v>3</v>
      </c>
      <c r="HP34" t="s">
        <v>3</v>
      </c>
      <c r="HQ34" t="s">
        <v>3</v>
      </c>
      <c r="IK34">
        <v>0</v>
      </c>
    </row>
    <row r="35" spans="1:245" x14ac:dyDescent="0.2">
      <c r="A35">
        <v>17</v>
      </c>
      <c r="B35">
        <v>1</v>
      </c>
      <c r="D35">
        <f>ROW(EtalonRes!A6)</f>
        <v>6</v>
      </c>
      <c r="E35" t="s">
        <v>33</v>
      </c>
      <c r="F35" t="s">
        <v>34</v>
      </c>
      <c r="G35" t="s">
        <v>35</v>
      </c>
      <c r="H35" t="s">
        <v>36</v>
      </c>
      <c r="I35">
        <f>ROUND(2*7,9)</f>
        <v>14</v>
      </c>
      <c r="J35">
        <v>0</v>
      </c>
      <c r="K35">
        <f>ROUND(2*7,9)</f>
        <v>14</v>
      </c>
      <c r="O35">
        <f t="shared" si="28"/>
        <v>37181.480000000003</v>
      </c>
      <c r="P35">
        <f t="shared" si="29"/>
        <v>8.82</v>
      </c>
      <c r="Q35">
        <f t="shared" si="30"/>
        <v>19756.240000000002</v>
      </c>
      <c r="R35">
        <f t="shared" si="31"/>
        <v>12526.78</v>
      </c>
      <c r="S35">
        <f t="shared" si="32"/>
        <v>17416.419999999998</v>
      </c>
      <c r="T35">
        <f t="shared" si="33"/>
        <v>0</v>
      </c>
      <c r="U35">
        <f t="shared" si="34"/>
        <v>24.5</v>
      </c>
      <c r="V35">
        <f t="shared" si="35"/>
        <v>0</v>
      </c>
      <c r="W35">
        <f t="shared" si="36"/>
        <v>0</v>
      </c>
      <c r="X35">
        <f t="shared" si="37"/>
        <v>12191.49</v>
      </c>
      <c r="Y35">
        <f t="shared" si="38"/>
        <v>1741.64</v>
      </c>
      <c r="AA35">
        <v>1471718271</v>
      </c>
      <c r="AB35">
        <f t="shared" si="39"/>
        <v>2655.82</v>
      </c>
      <c r="AC35">
        <f>ROUND((ES35),6)</f>
        <v>0.63</v>
      </c>
      <c r="AD35">
        <f>ROUND((((ET35)-(EU35))+AE35),6)</f>
        <v>1411.16</v>
      </c>
      <c r="AE35">
        <f>ROUND((EU35),6)</f>
        <v>894.77</v>
      </c>
      <c r="AF35">
        <f>ROUND((EV35),6)</f>
        <v>1244.03</v>
      </c>
      <c r="AG35">
        <f t="shared" si="40"/>
        <v>0</v>
      </c>
      <c r="AH35">
        <f>(EW35)</f>
        <v>1.75</v>
      </c>
      <c r="AI35">
        <f>(EX35)</f>
        <v>0</v>
      </c>
      <c r="AJ35">
        <f t="shared" si="41"/>
        <v>0</v>
      </c>
      <c r="AK35">
        <v>2655.82</v>
      </c>
      <c r="AL35">
        <v>0.63</v>
      </c>
      <c r="AM35">
        <v>1411.16</v>
      </c>
      <c r="AN35">
        <v>894.77</v>
      </c>
      <c r="AO35">
        <v>1244.03</v>
      </c>
      <c r="AP35">
        <v>0</v>
      </c>
      <c r="AQ35">
        <v>1.75</v>
      </c>
      <c r="AR35">
        <v>0</v>
      </c>
      <c r="AS35">
        <v>0</v>
      </c>
      <c r="AT35">
        <v>70</v>
      </c>
      <c r="AU35">
        <v>10</v>
      </c>
      <c r="AV35">
        <v>1</v>
      </c>
      <c r="AW35">
        <v>1</v>
      </c>
      <c r="AZ35">
        <v>1</v>
      </c>
      <c r="BA35">
        <v>1</v>
      </c>
      <c r="BB35">
        <v>1</v>
      </c>
      <c r="BC35">
        <v>1</v>
      </c>
      <c r="BD35" t="s">
        <v>3</v>
      </c>
      <c r="BE35" t="s">
        <v>3</v>
      </c>
      <c r="BF35" t="s">
        <v>3</v>
      </c>
      <c r="BG35" t="s">
        <v>3</v>
      </c>
      <c r="BH35">
        <v>0</v>
      </c>
      <c r="BI35">
        <v>4</v>
      </c>
      <c r="BJ35" t="s">
        <v>37</v>
      </c>
      <c r="BM35">
        <v>0</v>
      </c>
      <c r="BN35">
        <v>0</v>
      </c>
      <c r="BO35" t="s">
        <v>3</v>
      </c>
      <c r="BP35">
        <v>0</v>
      </c>
      <c r="BQ35">
        <v>1</v>
      </c>
      <c r="BR35">
        <v>0</v>
      </c>
      <c r="BS35">
        <v>1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3</v>
      </c>
      <c r="BZ35">
        <v>70</v>
      </c>
      <c r="CA35">
        <v>10</v>
      </c>
      <c r="CB35" t="s">
        <v>3</v>
      </c>
      <c r="CE35">
        <v>0</v>
      </c>
      <c r="CF35">
        <v>0</v>
      </c>
      <c r="CG35">
        <v>0</v>
      </c>
      <c r="CM35">
        <v>0</v>
      </c>
      <c r="CN35" t="s">
        <v>3</v>
      </c>
      <c r="CO35">
        <v>0</v>
      </c>
      <c r="CP35">
        <f t="shared" si="42"/>
        <v>37181.479999999996</v>
      </c>
      <c r="CQ35">
        <f t="shared" si="43"/>
        <v>0.63</v>
      </c>
      <c r="CR35">
        <f>((((ET35)*BB35-(EU35)*BS35)+AE35*BS35)*AV35)</f>
        <v>1411.16</v>
      </c>
      <c r="CS35">
        <f t="shared" si="44"/>
        <v>894.77</v>
      </c>
      <c r="CT35">
        <f t="shared" si="45"/>
        <v>1244.03</v>
      </c>
      <c r="CU35">
        <f t="shared" si="46"/>
        <v>0</v>
      </c>
      <c r="CV35">
        <f t="shared" si="47"/>
        <v>1.75</v>
      </c>
      <c r="CW35">
        <f t="shared" si="48"/>
        <v>0</v>
      </c>
      <c r="CX35">
        <f t="shared" si="49"/>
        <v>0</v>
      </c>
      <c r="CY35">
        <f t="shared" si="50"/>
        <v>12191.493999999999</v>
      </c>
      <c r="CZ35">
        <f t="shared" si="51"/>
        <v>1741.6419999999998</v>
      </c>
      <c r="DC35" t="s">
        <v>3</v>
      </c>
      <c r="DD35" t="s">
        <v>3</v>
      </c>
      <c r="DE35" t="s">
        <v>3</v>
      </c>
      <c r="DF35" t="s">
        <v>3</v>
      </c>
      <c r="DG35" t="s">
        <v>3</v>
      </c>
      <c r="DH35" t="s">
        <v>3</v>
      </c>
      <c r="DI35" t="s">
        <v>3</v>
      </c>
      <c r="DJ35" t="s">
        <v>3</v>
      </c>
      <c r="DK35" t="s">
        <v>3</v>
      </c>
      <c r="DL35" t="s">
        <v>3</v>
      </c>
      <c r="DM35" t="s">
        <v>3</v>
      </c>
      <c r="DN35">
        <v>0</v>
      </c>
      <c r="DO35">
        <v>0</v>
      </c>
      <c r="DP35">
        <v>1</v>
      </c>
      <c r="DQ35">
        <v>1</v>
      </c>
      <c r="DU35">
        <v>16987630</v>
      </c>
      <c r="DV35" t="s">
        <v>36</v>
      </c>
      <c r="DW35" t="s">
        <v>36</v>
      </c>
      <c r="DX35">
        <v>1</v>
      </c>
      <c r="DZ35" t="s">
        <v>3</v>
      </c>
      <c r="EA35" t="s">
        <v>3</v>
      </c>
      <c r="EB35" t="s">
        <v>3</v>
      </c>
      <c r="EC35" t="s">
        <v>3</v>
      </c>
      <c r="EE35">
        <v>1441815344</v>
      </c>
      <c r="EF35">
        <v>1</v>
      </c>
      <c r="EG35" t="s">
        <v>21</v>
      </c>
      <c r="EH35">
        <v>0</v>
      </c>
      <c r="EI35" t="s">
        <v>3</v>
      </c>
      <c r="EJ35">
        <v>4</v>
      </c>
      <c r="EK35">
        <v>0</v>
      </c>
      <c r="EL35" t="s">
        <v>22</v>
      </c>
      <c r="EM35" t="s">
        <v>23</v>
      </c>
      <c r="EO35" t="s">
        <v>3</v>
      </c>
      <c r="EQ35">
        <v>0</v>
      </c>
      <c r="ER35">
        <v>2655.82</v>
      </c>
      <c r="ES35">
        <v>0.63</v>
      </c>
      <c r="ET35">
        <v>1411.16</v>
      </c>
      <c r="EU35">
        <v>894.77</v>
      </c>
      <c r="EV35">
        <v>1244.03</v>
      </c>
      <c r="EW35">
        <v>1.75</v>
      </c>
      <c r="EX35">
        <v>0</v>
      </c>
      <c r="EY35">
        <v>0</v>
      </c>
      <c r="FQ35">
        <v>0</v>
      </c>
      <c r="FR35">
        <f t="shared" si="52"/>
        <v>0</v>
      </c>
      <c r="FS35">
        <v>0</v>
      </c>
      <c r="FX35">
        <v>70</v>
      </c>
      <c r="FY35">
        <v>10</v>
      </c>
      <c r="GA35" t="s">
        <v>3</v>
      </c>
      <c r="GD35">
        <v>0</v>
      </c>
      <c r="GF35">
        <v>-1602766855</v>
      </c>
      <c r="GG35">
        <v>2</v>
      </c>
      <c r="GH35">
        <v>1</v>
      </c>
      <c r="GI35">
        <v>-2</v>
      </c>
      <c r="GJ35">
        <v>0</v>
      </c>
      <c r="GK35">
        <f>ROUND(R35*(R12)/100,2)</f>
        <v>13528.92</v>
      </c>
      <c r="GL35">
        <f t="shared" si="53"/>
        <v>0</v>
      </c>
      <c r="GM35">
        <f t="shared" si="54"/>
        <v>64643.53</v>
      </c>
      <c r="GN35">
        <f t="shared" si="55"/>
        <v>0</v>
      </c>
      <c r="GO35">
        <f t="shared" si="56"/>
        <v>0</v>
      </c>
      <c r="GP35">
        <f t="shared" si="57"/>
        <v>64643.53</v>
      </c>
      <c r="GR35">
        <v>0</v>
      </c>
      <c r="GS35">
        <v>3</v>
      </c>
      <c r="GT35">
        <v>0</v>
      </c>
      <c r="GU35" t="s">
        <v>3</v>
      </c>
      <c r="GV35">
        <f t="shared" si="58"/>
        <v>0</v>
      </c>
      <c r="GW35">
        <v>1</v>
      </c>
      <c r="GX35">
        <f t="shared" si="59"/>
        <v>0</v>
      </c>
      <c r="HA35">
        <v>0</v>
      </c>
      <c r="HB35">
        <v>0</v>
      </c>
      <c r="HC35">
        <f t="shared" si="60"/>
        <v>0</v>
      </c>
      <c r="HE35" t="s">
        <v>3</v>
      </c>
      <c r="HF35" t="s">
        <v>3</v>
      </c>
      <c r="HM35" t="s">
        <v>3</v>
      </c>
      <c r="HN35" t="s">
        <v>3</v>
      </c>
      <c r="HO35" t="s">
        <v>3</v>
      </c>
      <c r="HP35" t="s">
        <v>3</v>
      </c>
      <c r="HQ35" t="s">
        <v>3</v>
      </c>
      <c r="IK35">
        <v>0</v>
      </c>
    </row>
    <row r="36" spans="1:245" x14ac:dyDescent="0.2">
      <c r="A36">
        <v>17</v>
      </c>
      <c r="B36">
        <v>1</v>
      </c>
      <c r="D36">
        <f>ROW(EtalonRes!A8)</f>
        <v>8</v>
      </c>
      <c r="E36" t="s">
        <v>38</v>
      </c>
      <c r="F36" t="s">
        <v>39</v>
      </c>
      <c r="G36" t="s">
        <v>40</v>
      </c>
      <c r="H36" t="s">
        <v>36</v>
      </c>
      <c r="I36">
        <f>ROUND(2*7,9)</f>
        <v>14</v>
      </c>
      <c r="J36">
        <v>0</v>
      </c>
      <c r="K36">
        <f>ROUND(2*7,9)</f>
        <v>14</v>
      </c>
      <c r="O36">
        <f t="shared" si="28"/>
        <v>8013.04</v>
      </c>
      <c r="P36">
        <f t="shared" si="29"/>
        <v>0</v>
      </c>
      <c r="Q36">
        <f t="shared" si="30"/>
        <v>2189.04</v>
      </c>
      <c r="R36">
        <f t="shared" si="31"/>
        <v>1387.96</v>
      </c>
      <c r="S36">
        <f t="shared" si="32"/>
        <v>5824</v>
      </c>
      <c r="T36">
        <f t="shared" si="33"/>
        <v>0</v>
      </c>
      <c r="U36">
        <f t="shared" si="34"/>
        <v>10.36</v>
      </c>
      <c r="V36">
        <f t="shared" si="35"/>
        <v>0</v>
      </c>
      <c r="W36">
        <f t="shared" si="36"/>
        <v>0</v>
      </c>
      <c r="X36">
        <f t="shared" si="37"/>
        <v>4076.8</v>
      </c>
      <c r="Y36">
        <f t="shared" si="38"/>
        <v>582.4</v>
      </c>
      <c r="AA36">
        <v>1471718271</v>
      </c>
      <c r="AB36">
        <f t="shared" si="39"/>
        <v>572.36</v>
      </c>
      <c r="AC36">
        <f>ROUND(((ES36*2)),6)</f>
        <v>0</v>
      </c>
      <c r="AD36">
        <f>ROUND(((((ET36*2))-((EU36*2)))+AE36),6)</f>
        <v>156.36000000000001</v>
      </c>
      <c r="AE36">
        <f>ROUND(((EU36*2)),6)</f>
        <v>99.14</v>
      </c>
      <c r="AF36">
        <f>ROUND(((EV36*2)),6)</f>
        <v>416</v>
      </c>
      <c r="AG36">
        <f t="shared" si="40"/>
        <v>0</v>
      </c>
      <c r="AH36">
        <f>((EW36*2))</f>
        <v>0.74</v>
      </c>
      <c r="AI36">
        <f>((EX36*2))</f>
        <v>0</v>
      </c>
      <c r="AJ36">
        <f t="shared" si="41"/>
        <v>0</v>
      </c>
      <c r="AK36">
        <v>286.18</v>
      </c>
      <c r="AL36">
        <v>0</v>
      </c>
      <c r="AM36">
        <v>78.180000000000007</v>
      </c>
      <c r="AN36">
        <v>49.57</v>
      </c>
      <c r="AO36">
        <v>208</v>
      </c>
      <c r="AP36">
        <v>0</v>
      </c>
      <c r="AQ36">
        <v>0.37</v>
      </c>
      <c r="AR36">
        <v>0</v>
      </c>
      <c r="AS36">
        <v>0</v>
      </c>
      <c r="AT36">
        <v>70</v>
      </c>
      <c r="AU36">
        <v>10</v>
      </c>
      <c r="AV36">
        <v>1</v>
      </c>
      <c r="AW36">
        <v>1</v>
      </c>
      <c r="AZ36">
        <v>1</v>
      </c>
      <c r="BA36">
        <v>1</v>
      </c>
      <c r="BB36">
        <v>1</v>
      </c>
      <c r="BC36">
        <v>1</v>
      </c>
      <c r="BD36" t="s">
        <v>3</v>
      </c>
      <c r="BE36" t="s">
        <v>3</v>
      </c>
      <c r="BF36" t="s">
        <v>3</v>
      </c>
      <c r="BG36" t="s">
        <v>3</v>
      </c>
      <c r="BH36">
        <v>0</v>
      </c>
      <c r="BI36">
        <v>4</v>
      </c>
      <c r="BJ36" t="s">
        <v>41</v>
      </c>
      <c r="BM36">
        <v>0</v>
      </c>
      <c r="BN36">
        <v>0</v>
      </c>
      <c r="BO36" t="s">
        <v>3</v>
      </c>
      <c r="BP36">
        <v>0</v>
      </c>
      <c r="BQ36">
        <v>1</v>
      </c>
      <c r="BR36">
        <v>0</v>
      </c>
      <c r="BS36">
        <v>1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3</v>
      </c>
      <c r="BZ36">
        <v>70</v>
      </c>
      <c r="CA36">
        <v>10</v>
      </c>
      <c r="CB36" t="s">
        <v>3</v>
      </c>
      <c r="CE36">
        <v>0</v>
      </c>
      <c r="CF36">
        <v>0</v>
      </c>
      <c r="CG36">
        <v>0</v>
      </c>
      <c r="CM36">
        <v>0</v>
      </c>
      <c r="CN36" t="s">
        <v>3</v>
      </c>
      <c r="CO36">
        <v>0</v>
      </c>
      <c r="CP36">
        <f t="shared" si="42"/>
        <v>8013.04</v>
      </c>
      <c r="CQ36">
        <f t="shared" si="43"/>
        <v>0</v>
      </c>
      <c r="CR36">
        <f>(((((ET36*2))*BB36-((EU36*2))*BS36)+AE36*BS36)*AV36)</f>
        <v>156.36000000000001</v>
      </c>
      <c r="CS36">
        <f t="shared" si="44"/>
        <v>99.14</v>
      </c>
      <c r="CT36">
        <f t="shared" si="45"/>
        <v>416</v>
      </c>
      <c r="CU36">
        <f t="shared" si="46"/>
        <v>0</v>
      </c>
      <c r="CV36">
        <f t="shared" si="47"/>
        <v>0.74</v>
      </c>
      <c r="CW36">
        <f t="shared" si="48"/>
        <v>0</v>
      </c>
      <c r="CX36">
        <f t="shared" si="49"/>
        <v>0</v>
      </c>
      <c r="CY36">
        <f t="shared" si="50"/>
        <v>4076.8</v>
      </c>
      <c r="CZ36">
        <f t="shared" si="51"/>
        <v>582.4</v>
      </c>
      <c r="DC36" t="s">
        <v>3</v>
      </c>
      <c r="DD36" t="s">
        <v>42</v>
      </c>
      <c r="DE36" t="s">
        <v>42</v>
      </c>
      <c r="DF36" t="s">
        <v>42</v>
      </c>
      <c r="DG36" t="s">
        <v>42</v>
      </c>
      <c r="DH36" t="s">
        <v>3</v>
      </c>
      <c r="DI36" t="s">
        <v>42</v>
      </c>
      <c r="DJ36" t="s">
        <v>42</v>
      </c>
      <c r="DK36" t="s">
        <v>3</v>
      </c>
      <c r="DL36" t="s">
        <v>3</v>
      </c>
      <c r="DM36" t="s">
        <v>3</v>
      </c>
      <c r="DN36">
        <v>0</v>
      </c>
      <c r="DO36">
        <v>0</v>
      </c>
      <c r="DP36">
        <v>1</v>
      </c>
      <c r="DQ36">
        <v>1</v>
      </c>
      <c r="DU36">
        <v>16987630</v>
      </c>
      <c r="DV36" t="s">
        <v>36</v>
      </c>
      <c r="DW36" t="s">
        <v>36</v>
      </c>
      <c r="DX36">
        <v>1</v>
      </c>
      <c r="DZ36" t="s">
        <v>3</v>
      </c>
      <c r="EA36" t="s">
        <v>3</v>
      </c>
      <c r="EB36" t="s">
        <v>3</v>
      </c>
      <c r="EC36" t="s">
        <v>3</v>
      </c>
      <c r="EE36">
        <v>1441815344</v>
      </c>
      <c r="EF36">
        <v>1</v>
      </c>
      <c r="EG36" t="s">
        <v>21</v>
      </c>
      <c r="EH36">
        <v>0</v>
      </c>
      <c r="EI36" t="s">
        <v>3</v>
      </c>
      <c r="EJ36">
        <v>4</v>
      </c>
      <c r="EK36">
        <v>0</v>
      </c>
      <c r="EL36" t="s">
        <v>22</v>
      </c>
      <c r="EM36" t="s">
        <v>23</v>
      </c>
      <c r="EO36" t="s">
        <v>3</v>
      </c>
      <c r="EQ36">
        <v>0</v>
      </c>
      <c r="ER36">
        <v>286.18</v>
      </c>
      <c r="ES36">
        <v>0</v>
      </c>
      <c r="ET36">
        <v>78.180000000000007</v>
      </c>
      <c r="EU36">
        <v>49.57</v>
      </c>
      <c r="EV36">
        <v>208</v>
      </c>
      <c r="EW36">
        <v>0.37</v>
      </c>
      <c r="EX36">
        <v>0</v>
      </c>
      <c r="EY36">
        <v>0</v>
      </c>
      <c r="FQ36">
        <v>0</v>
      </c>
      <c r="FR36">
        <f t="shared" si="52"/>
        <v>0</v>
      </c>
      <c r="FS36">
        <v>0</v>
      </c>
      <c r="FX36">
        <v>70</v>
      </c>
      <c r="FY36">
        <v>10</v>
      </c>
      <c r="GA36" t="s">
        <v>3</v>
      </c>
      <c r="GD36">
        <v>0</v>
      </c>
      <c r="GF36">
        <v>458430058</v>
      </c>
      <c r="GG36">
        <v>2</v>
      </c>
      <c r="GH36">
        <v>1</v>
      </c>
      <c r="GI36">
        <v>-2</v>
      </c>
      <c r="GJ36">
        <v>0</v>
      </c>
      <c r="GK36">
        <f>ROUND(R36*(R12)/100,2)</f>
        <v>1499</v>
      </c>
      <c r="GL36">
        <f t="shared" si="53"/>
        <v>0</v>
      </c>
      <c r="GM36">
        <f t="shared" si="54"/>
        <v>14171.24</v>
      </c>
      <c r="GN36">
        <f t="shared" si="55"/>
        <v>0</v>
      </c>
      <c r="GO36">
        <f t="shared" si="56"/>
        <v>0</v>
      </c>
      <c r="GP36">
        <f t="shared" si="57"/>
        <v>14171.24</v>
      </c>
      <c r="GR36">
        <v>0</v>
      </c>
      <c r="GS36">
        <v>3</v>
      </c>
      <c r="GT36">
        <v>0</v>
      </c>
      <c r="GU36" t="s">
        <v>3</v>
      </c>
      <c r="GV36">
        <f t="shared" si="58"/>
        <v>0</v>
      </c>
      <c r="GW36">
        <v>1</v>
      </c>
      <c r="GX36">
        <f t="shared" si="59"/>
        <v>0</v>
      </c>
      <c r="HA36">
        <v>0</v>
      </c>
      <c r="HB36">
        <v>0</v>
      </c>
      <c r="HC36">
        <f t="shared" si="60"/>
        <v>0</v>
      </c>
      <c r="HE36" t="s">
        <v>3</v>
      </c>
      <c r="HF36" t="s">
        <v>3</v>
      </c>
      <c r="HM36" t="s">
        <v>3</v>
      </c>
      <c r="HN36" t="s">
        <v>3</v>
      </c>
      <c r="HO36" t="s">
        <v>3</v>
      </c>
      <c r="HP36" t="s">
        <v>3</v>
      </c>
      <c r="HQ36" t="s">
        <v>3</v>
      </c>
      <c r="IK36">
        <v>0</v>
      </c>
    </row>
    <row r="37" spans="1:245" x14ac:dyDescent="0.2">
      <c r="A37">
        <v>17</v>
      </c>
      <c r="B37">
        <v>1</v>
      </c>
      <c r="D37">
        <f>ROW(EtalonRes!A9)</f>
        <v>9</v>
      </c>
      <c r="E37" t="s">
        <v>3</v>
      </c>
      <c r="F37" t="s">
        <v>43</v>
      </c>
      <c r="G37" t="s">
        <v>44</v>
      </c>
      <c r="H37" t="s">
        <v>31</v>
      </c>
      <c r="I37">
        <f>ROUND((8)*7/10,9)</f>
        <v>5.6</v>
      </c>
      <c r="J37">
        <v>0</v>
      </c>
      <c r="K37">
        <f>ROUND((8)*7/10,9)</f>
        <v>5.6</v>
      </c>
      <c r="O37">
        <f t="shared" si="28"/>
        <v>74069.41</v>
      </c>
      <c r="P37">
        <f t="shared" si="29"/>
        <v>0</v>
      </c>
      <c r="Q37">
        <f t="shared" si="30"/>
        <v>0</v>
      </c>
      <c r="R37">
        <f t="shared" si="31"/>
        <v>0</v>
      </c>
      <c r="S37">
        <f t="shared" si="32"/>
        <v>74069.41</v>
      </c>
      <c r="T37">
        <f t="shared" si="33"/>
        <v>0</v>
      </c>
      <c r="U37">
        <f t="shared" si="34"/>
        <v>119.952</v>
      </c>
      <c r="V37">
        <f t="shared" si="35"/>
        <v>0</v>
      </c>
      <c r="W37">
        <f t="shared" si="36"/>
        <v>0</v>
      </c>
      <c r="X37">
        <f t="shared" si="37"/>
        <v>51848.59</v>
      </c>
      <c r="Y37">
        <f t="shared" si="38"/>
        <v>7406.94</v>
      </c>
      <c r="AA37">
        <v>-1</v>
      </c>
      <c r="AB37">
        <f t="shared" si="39"/>
        <v>13226.68</v>
      </c>
      <c r="AC37">
        <f>ROUND(((ES37*17)),6)</f>
        <v>0</v>
      </c>
      <c r="AD37">
        <f>ROUND(((((ET37*17))-((EU37*17)))+AE37),6)</f>
        <v>0</v>
      </c>
      <c r="AE37">
        <f>ROUND(((EU37*17)),6)</f>
        <v>0</v>
      </c>
      <c r="AF37">
        <f>ROUND(((EV37*17)),6)</f>
        <v>13226.68</v>
      </c>
      <c r="AG37">
        <f t="shared" si="40"/>
        <v>0</v>
      </c>
      <c r="AH37">
        <f>((EW37*17))</f>
        <v>21.42</v>
      </c>
      <c r="AI37">
        <f>((EX37*17))</f>
        <v>0</v>
      </c>
      <c r="AJ37">
        <f t="shared" si="41"/>
        <v>0</v>
      </c>
      <c r="AK37">
        <v>778.04</v>
      </c>
      <c r="AL37">
        <v>0</v>
      </c>
      <c r="AM37">
        <v>0</v>
      </c>
      <c r="AN37">
        <v>0</v>
      </c>
      <c r="AO37">
        <v>778.04</v>
      </c>
      <c r="AP37">
        <v>0</v>
      </c>
      <c r="AQ37">
        <v>1.26</v>
      </c>
      <c r="AR37">
        <v>0</v>
      </c>
      <c r="AS37">
        <v>0</v>
      </c>
      <c r="AT37">
        <v>70</v>
      </c>
      <c r="AU37">
        <v>10</v>
      </c>
      <c r="AV37">
        <v>1</v>
      </c>
      <c r="AW37">
        <v>1</v>
      </c>
      <c r="AZ37">
        <v>1</v>
      </c>
      <c r="BA37">
        <v>1</v>
      </c>
      <c r="BB37">
        <v>1</v>
      </c>
      <c r="BC37">
        <v>1</v>
      </c>
      <c r="BD37" t="s">
        <v>3</v>
      </c>
      <c r="BE37" t="s">
        <v>3</v>
      </c>
      <c r="BF37" t="s">
        <v>3</v>
      </c>
      <c r="BG37" t="s">
        <v>3</v>
      </c>
      <c r="BH37">
        <v>0</v>
      </c>
      <c r="BI37">
        <v>4</v>
      </c>
      <c r="BJ37" t="s">
        <v>45</v>
      </c>
      <c r="BM37">
        <v>0</v>
      </c>
      <c r="BN37">
        <v>0</v>
      </c>
      <c r="BO37" t="s">
        <v>3</v>
      </c>
      <c r="BP37">
        <v>0</v>
      </c>
      <c r="BQ37">
        <v>1</v>
      </c>
      <c r="BR37">
        <v>0</v>
      </c>
      <c r="BS37">
        <v>1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3</v>
      </c>
      <c r="BZ37">
        <v>70</v>
      </c>
      <c r="CA37">
        <v>10</v>
      </c>
      <c r="CB37" t="s">
        <v>3</v>
      </c>
      <c r="CE37">
        <v>0</v>
      </c>
      <c r="CF37">
        <v>0</v>
      </c>
      <c r="CG37">
        <v>0</v>
      </c>
      <c r="CM37">
        <v>0</v>
      </c>
      <c r="CN37" t="s">
        <v>3</v>
      </c>
      <c r="CO37">
        <v>0</v>
      </c>
      <c r="CP37">
        <f t="shared" si="42"/>
        <v>74069.41</v>
      </c>
      <c r="CQ37">
        <f t="shared" si="43"/>
        <v>0</v>
      </c>
      <c r="CR37">
        <f>(((((ET37*17))*BB37-((EU37*17))*BS37)+AE37*BS37)*AV37)</f>
        <v>0</v>
      </c>
      <c r="CS37">
        <f t="shared" si="44"/>
        <v>0</v>
      </c>
      <c r="CT37">
        <f t="shared" si="45"/>
        <v>13226.68</v>
      </c>
      <c r="CU37">
        <f t="shared" si="46"/>
        <v>0</v>
      </c>
      <c r="CV37">
        <f t="shared" si="47"/>
        <v>21.42</v>
      </c>
      <c r="CW37">
        <f t="shared" si="48"/>
        <v>0</v>
      </c>
      <c r="CX37">
        <f t="shared" si="49"/>
        <v>0</v>
      </c>
      <c r="CY37">
        <f t="shared" si="50"/>
        <v>51848.587</v>
      </c>
      <c r="CZ37">
        <f t="shared" si="51"/>
        <v>7406.9410000000007</v>
      </c>
      <c r="DC37" t="s">
        <v>3</v>
      </c>
      <c r="DD37" t="s">
        <v>46</v>
      </c>
      <c r="DE37" t="s">
        <v>46</v>
      </c>
      <c r="DF37" t="s">
        <v>46</v>
      </c>
      <c r="DG37" t="s">
        <v>46</v>
      </c>
      <c r="DH37" t="s">
        <v>3</v>
      </c>
      <c r="DI37" t="s">
        <v>46</v>
      </c>
      <c r="DJ37" t="s">
        <v>46</v>
      </c>
      <c r="DK37" t="s">
        <v>3</v>
      </c>
      <c r="DL37" t="s">
        <v>3</v>
      </c>
      <c r="DM37" t="s">
        <v>3</v>
      </c>
      <c r="DN37">
        <v>0</v>
      </c>
      <c r="DO37">
        <v>0</v>
      </c>
      <c r="DP37">
        <v>1</v>
      </c>
      <c r="DQ37">
        <v>1</v>
      </c>
      <c r="DU37">
        <v>16987630</v>
      </c>
      <c r="DV37" t="s">
        <v>31</v>
      </c>
      <c r="DW37" t="s">
        <v>31</v>
      </c>
      <c r="DX37">
        <v>10</v>
      </c>
      <c r="DZ37" t="s">
        <v>3</v>
      </c>
      <c r="EA37" t="s">
        <v>3</v>
      </c>
      <c r="EB37" t="s">
        <v>3</v>
      </c>
      <c r="EC37" t="s">
        <v>3</v>
      </c>
      <c r="EE37">
        <v>1441815344</v>
      </c>
      <c r="EF37">
        <v>1</v>
      </c>
      <c r="EG37" t="s">
        <v>21</v>
      </c>
      <c r="EH37">
        <v>0</v>
      </c>
      <c r="EI37" t="s">
        <v>3</v>
      </c>
      <c r="EJ37">
        <v>4</v>
      </c>
      <c r="EK37">
        <v>0</v>
      </c>
      <c r="EL37" t="s">
        <v>22</v>
      </c>
      <c r="EM37" t="s">
        <v>23</v>
      </c>
      <c r="EO37" t="s">
        <v>3</v>
      </c>
      <c r="EQ37">
        <v>1024</v>
      </c>
      <c r="ER37">
        <v>778.04</v>
      </c>
      <c r="ES37">
        <v>0</v>
      </c>
      <c r="ET37">
        <v>0</v>
      </c>
      <c r="EU37">
        <v>0</v>
      </c>
      <c r="EV37">
        <v>778.04</v>
      </c>
      <c r="EW37">
        <v>1.26</v>
      </c>
      <c r="EX37">
        <v>0</v>
      </c>
      <c r="EY37">
        <v>0</v>
      </c>
      <c r="FQ37">
        <v>0</v>
      </c>
      <c r="FR37">
        <f t="shared" si="52"/>
        <v>0</v>
      </c>
      <c r="FS37">
        <v>0</v>
      </c>
      <c r="FX37">
        <v>70</v>
      </c>
      <c r="FY37">
        <v>10</v>
      </c>
      <c r="GA37" t="s">
        <v>3</v>
      </c>
      <c r="GD37">
        <v>0</v>
      </c>
      <c r="GF37">
        <v>1084928283</v>
      </c>
      <c r="GG37">
        <v>2</v>
      </c>
      <c r="GH37">
        <v>1</v>
      </c>
      <c r="GI37">
        <v>-2</v>
      </c>
      <c r="GJ37">
        <v>0</v>
      </c>
      <c r="GK37">
        <f>ROUND(R37*(R12)/100,2)</f>
        <v>0</v>
      </c>
      <c r="GL37">
        <f t="shared" si="53"/>
        <v>0</v>
      </c>
      <c r="GM37">
        <f t="shared" si="54"/>
        <v>133324.94</v>
      </c>
      <c r="GN37">
        <f t="shared" si="55"/>
        <v>0</v>
      </c>
      <c r="GO37">
        <f t="shared" si="56"/>
        <v>0</v>
      </c>
      <c r="GP37">
        <f t="shared" si="57"/>
        <v>133324.94</v>
      </c>
      <c r="GR37">
        <v>0</v>
      </c>
      <c r="GS37">
        <v>3</v>
      </c>
      <c r="GT37">
        <v>0</v>
      </c>
      <c r="GU37" t="s">
        <v>3</v>
      </c>
      <c r="GV37">
        <f t="shared" si="58"/>
        <v>0</v>
      </c>
      <c r="GW37">
        <v>1</v>
      </c>
      <c r="GX37">
        <f t="shared" si="59"/>
        <v>0</v>
      </c>
      <c r="HA37">
        <v>0</v>
      </c>
      <c r="HB37">
        <v>0</v>
      </c>
      <c r="HC37">
        <f t="shared" si="60"/>
        <v>0</v>
      </c>
      <c r="HE37" t="s">
        <v>3</v>
      </c>
      <c r="HF37" t="s">
        <v>3</v>
      </c>
      <c r="HM37" t="s">
        <v>3</v>
      </c>
      <c r="HN37" t="s">
        <v>3</v>
      </c>
      <c r="HO37" t="s">
        <v>3</v>
      </c>
      <c r="HP37" t="s">
        <v>3</v>
      </c>
      <c r="HQ37" t="s">
        <v>3</v>
      </c>
      <c r="IK37">
        <v>0</v>
      </c>
    </row>
    <row r="38" spans="1:245" x14ac:dyDescent="0.2">
      <c r="A38">
        <v>17</v>
      </c>
      <c r="B38">
        <v>1</v>
      </c>
      <c r="D38">
        <f>ROW(EtalonRes!A10)</f>
        <v>10</v>
      </c>
      <c r="E38" t="s">
        <v>3</v>
      </c>
      <c r="F38" t="s">
        <v>47</v>
      </c>
      <c r="G38" t="s">
        <v>48</v>
      </c>
      <c r="H38" t="s">
        <v>31</v>
      </c>
      <c r="I38">
        <f>ROUND((5+2)*7/10,9)</f>
        <v>4.9000000000000004</v>
      </c>
      <c r="J38">
        <v>0</v>
      </c>
      <c r="K38">
        <f>ROUND((5+2)*7/10,9)</f>
        <v>4.9000000000000004</v>
      </c>
      <c r="O38">
        <f t="shared" si="28"/>
        <v>13887.78</v>
      </c>
      <c r="P38">
        <f t="shared" si="29"/>
        <v>0</v>
      </c>
      <c r="Q38">
        <f t="shared" si="30"/>
        <v>0</v>
      </c>
      <c r="R38">
        <f t="shared" si="31"/>
        <v>0</v>
      </c>
      <c r="S38">
        <f t="shared" si="32"/>
        <v>13887.78</v>
      </c>
      <c r="T38">
        <f t="shared" si="33"/>
        <v>0</v>
      </c>
      <c r="U38">
        <f t="shared" si="34"/>
        <v>22.491</v>
      </c>
      <c r="V38">
        <f t="shared" si="35"/>
        <v>0</v>
      </c>
      <c r="W38">
        <f t="shared" si="36"/>
        <v>0</v>
      </c>
      <c r="X38">
        <f t="shared" si="37"/>
        <v>9721.4500000000007</v>
      </c>
      <c r="Y38">
        <f t="shared" si="38"/>
        <v>1388.78</v>
      </c>
      <c r="AA38">
        <v>-1</v>
      </c>
      <c r="AB38">
        <f t="shared" si="39"/>
        <v>2834.24</v>
      </c>
      <c r="AC38">
        <f>ROUND(((ES38*17)),6)</f>
        <v>0</v>
      </c>
      <c r="AD38">
        <f>ROUND(((((ET38*17))-((EU38*17)))+AE38),6)</f>
        <v>0</v>
      </c>
      <c r="AE38">
        <f>ROUND(((EU38*17)),6)</f>
        <v>0</v>
      </c>
      <c r="AF38">
        <f>ROUND(((EV38*17)),6)</f>
        <v>2834.24</v>
      </c>
      <c r="AG38">
        <f t="shared" si="40"/>
        <v>0</v>
      </c>
      <c r="AH38">
        <f>((EW38*17))</f>
        <v>4.59</v>
      </c>
      <c r="AI38">
        <f>((EX38*17))</f>
        <v>0</v>
      </c>
      <c r="AJ38">
        <f t="shared" si="41"/>
        <v>0</v>
      </c>
      <c r="AK38">
        <v>166.72</v>
      </c>
      <c r="AL38">
        <v>0</v>
      </c>
      <c r="AM38">
        <v>0</v>
      </c>
      <c r="AN38">
        <v>0</v>
      </c>
      <c r="AO38">
        <v>166.72</v>
      </c>
      <c r="AP38">
        <v>0</v>
      </c>
      <c r="AQ38">
        <v>0.27</v>
      </c>
      <c r="AR38">
        <v>0</v>
      </c>
      <c r="AS38">
        <v>0</v>
      </c>
      <c r="AT38">
        <v>70</v>
      </c>
      <c r="AU38">
        <v>10</v>
      </c>
      <c r="AV38">
        <v>1</v>
      </c>
      <c r="AW38">
        <v>1</v>
      </c>
      <c r="AZ38">
        <v>1</v>
      </c>
      <c r="BA38">
        <v>1</v>
      </c>
      <c r="BB38">
        <v>1</v>
      </c>
      <c r="BC38">
        <v>1</v>
      </c>
      <c r="BD38" t="s">
        <v>3</v>
      </c>
      <c r="BE38" t="s">
        <v>3</v>
      </c>
      <c r="BF38" t="s">
        <v>3</v>
      </c>
      <c r="BG38" t="s">
        <v>3</v>
      </c>
      <c r="BH38">
        <v>0</v>
      </c>
      <c r="BI38">
        <v>4</v>
      </c>
      <c r="BJ38" t="s">
        <v>49</v>
      </c>
      <c r="BM38">
        <v>0</v>
      </c>
      <c r="BN38">
        <v>0</v>
      </c>
      <c r="BO38" t="s">
        <v>3</v>
      </c>
      <c r="BP38">
        <v>0</v>
      </c>
      <c r="BQ38">
        <v>1</v>
      </c>
      <c r="BR38">
        <v>0</v>
      </c>
      <c r="BS38">
        <v>1</v>
      </c>
      <c r="BT38">
        <v>1</v>
      </c>
      <c r="BU38">
        <v>1</v>
      </c>
      <c r="BV38">
        <v>1</v>
      </c>
      <c r="BW38">
        <v>1</v>
      </c>
      <c r="BX38">
        <v>1</v>
      </c>
      <c r="BY38" t="s">
        <v>3</v>
      </c>
      <c r="BZ38">
        <v>70</v>
      </c>
      <c r="CA38">
        <v>10</v>
      </c>
      <c r="CB38" t="s">
        <v>3</v>
      </c>
      <c r="CE38">
        <v>0</v>
      </c>
      <c r="CF38">
        <v>0</v>
      </c>
      <c r="CG38">
        <v>0</v>
      </c>
      <c r="CM38">
        <v>0</v>
      </c>
      <c r="CN38" t="s">
        <v>3</v>
      </c>
      <c r="CO38">
        <v>0</v>
      </c>
      <c r="CP38">
        <f t="shared" si="42"/>
        <v>13887.78</v>
      </c>
      <c r="CQ38">
        <f t="shared" si="43"/>
        <v>0</v>
      </c>
      <c r="CR38">
        <f>(((((ET38*17))*BB38-((EU38*17))*BS38)+AE38*BS38)*AV38)</f>
        <v>0</v>
      </c>
      <c r="CS38">
        <f t="shared" si="44"/>
        <v>0</v>
      </c>
      <c r="CT38">
        <f t="shared" si="45"/>
        <v>2834.24</v>
      </c>
      <c r="CU38">
        <f t="shared" si="46"/>
        <v>0</v>
      </c>
      <c r="CV38">
        <f t="shared" si="47"/>
        <v>4.59</v>
      </c>
      <c r="CW38">
        <f t="shared" si="48"/>
        <v>0</v>
      </c>
      <c r="CX38">
        <f t="shared" si="49"/>
        <v>0</v>
      </c>
      <c r="CY38">
        <f t="shared" si="50"/>
        <v>9721.4460000000017</v>
      </c>
      <c r="CZ38">
        <f t="shared" si="51"/>
        <v>1388.7780000000002</v>
      </c>
      <c r="DC38" t="s">
        <v>3</v>
      </c>
      <c r="DD38" t="s">
        <v>46</v>
      </c>
      <c r="DE38" t="s">
        <v>46</v>
      </c>
      <c r="DF38" t="s">
        <v>46</v>
      </c>
      <c r="DG38" t="s">
        <v>46</v>
      </c>
      <c r="DH38" t="s">
        <v>3</v>
      </c>
      <c r="DI38" t="s">
        <v>46</v>
      </c>
      <c r="DJ38" t="s">
        <v>46</v>
      </c>
      <c r="DK38" t="s">
        <v>3</v>
      </c>
      <c r="DL38" t="s">
        <v>3</v>
      </c>
      <c r="DM38" t="s">
        <v>3</v>
      </c>
      <c r="DN38">
        <v>0</v>
      </c>
      <c r="DO38">
        <v>0</v>
      </c>
      <c r="DP38">
        <v>1</v>
      </c>
      <c r="DQ38">
        <v>1</v>
      </c>
      <c r="DU38">
        <v>16987630</v>
      </c>
      <c r="DV38" t="s">
        <v>31</v>
      </c>
      <c r="DW38" t="s">
        <v>31</v>
      </c>
      <c r="DX38">
        <v>10</v>
      </c>
      <c r="DZ38" t="s">
        <v>3</v>
      </c>
      <c r="EA38" t="s">
        <v>3</v>
      </c>
      <c r="EB38" t="s">
        <v>3</v>
      </c>
      <c r="EC38" t="s">
        <v>3</v>
      </c>
      <c r="EE38">
        <v>1441815344</v>
      </c>
      <c r="EF38">
        <v>1</v>
      </c>
      <c r="EG38" t="s">
        <v>21</v>
      </c>
      <c r="EH38">
        <v>0</v>
      </c>
      <c r="EI38" t="s">
        <v>3</v>
      </c>
      <c r="EJ38">
        <v>4</v>
      </c>
      <c r="EK38">
        <v>0</v>
      </c>
      <c r="EL38" t="s">
        <v>22</v>
      </c>
      <c r="EM38" t="s">
        <v>23</v>
      </c>
      <c r="EO38" t="s">
        <v>3</v>
      </c>
      <c r="EQ38">
        <v>1024</v>
      </c>
      <c r="ER38">
        <v>166.72</v>
      </c>
      <c r="ES38">
        <v>0</v>
      </c>
      <c r="ET38">
        <v>0</v>
      </c>
      <c r="EU38">
        <v>0</v>
      </c>
      <c r="EV38">
        <v>166.72</v>
      </c>
      <c r="EW38">
        <v>0.27</v>
      </c>
      <c r="EX38">
        <v>0</v>
      </c>
      <c r="EY38">
        <v>0</v>
      </c>
      <c r="FQ38">
        <v>0</v>
      </c>
      <c r="FR38">
        <f t="shared" si="52"/>
        <v>0</v>
      </c>
      <c r="FS38">
        <v>0</v>
      </c>
      <c r="FX38">
        <v>70</v>
      </c>
      <c r="FY38">
        <v>10</v>
      </c>
      <c r="GA38" t="s">
        <v>3</v>
      </c>
      <c r="GD38">
        <v>0</v>
      </c>
      <c r="GF38">
        <v>-1133115676</v>
      </c>
      <c r="GG38">
        <v>2</v>
      </c>
      <c r="GH38">
        <v>1</v>
      </c>
      <c r="GI38">
        <v>-2</v>
      </c>
      <c r="GJ38">
        <v>0</v>
      </c>
      <c r="GK38">
        <f>ROUND(R38*(R12)/100,2)</f>
        <v>0</v>
      </c>
      <c r="GL38">
        <f t="shared" si="53"/>
        <v>0</v>
      </c>
      <c r="GM38">
        <f t="shared" si="54"/>
        <v>24998.01</v>
      </c>
      <c r="GN38">
        <f t="shared" si="55"/>
        <v>0</v>
      </c>
      <c r="GO38">
        <f t="shared" si="56"/>
        <v>0</v>
      </c>
      <c r="GP38">
        <f t="shared" si="57"/>
        <v>24998.01</v>
      </c>
      <c r="GR38">
        <v>0</v>
      </c>
      <c r="GS38">
        <v>3</v>
      </c>
      <c r="GT38">
        <v>0</v>
      </c>
      <c r="GU38" t="s">
        <v>3</v>
      </c>
      <c r="GV38">
        <f t="shared" si="58"/>
        <v>0</v>
      </c>
      <c r="GW38">
        <v>1</v>
      </c>
      <c r="GX38">
        <f t="shared" si="59"/>
        <v>0</v>
      </c>
      <c r="HA38">
        <v>0</v>
      </c>
      <c r="HB38">
        <v>0</v>
      </c>
      <c r="HC38">
        <f t="shared" si="60"/>
        <v>0</v>
      </c>
      <c r="HE38" t="s">
        <v>3</v>
      </c>
      <c r="HF38" t="s">
        <v>3</v>
      </c>
      <c r="HM38" t="s">
        <v>3</v>
      </c>
      <c r="HN38" t="s">
        <v>3</v>
      </c>
      <c r="HO38" t="s">
        <v>3</v>
      </c>
      <c r="HP38" t="s">
        <v>3</v>
      </c>
      <c r="HQ38" t="s">
        <v>3</v>
      </c>
      <c r="IK38">
        <v>0</v>
      </c>
    </row>
    <row r="39" spans="1:245" x14ac:dyDescent="0.2">
      <c r="A39">
        <v>17</v>
      </c>
      <c r="B39">
        <v>1</v>
      </c>
      <c r="D39">
        <f>ROW(EtalonRes!A15)</f>
        <v>15</v>
      </c>
      <c r="E39" t="s">
        <v>50</v>
      </c>
      <c r="F39" t="s">
        <v>51</v>
      </c>
      <c r="G39" t="s">
        <v>52</v>
      </c>
      <c r="H39" t="s">
        <v>53</v>
      </c>
      <c r="I39">
        <f>ROUND((18)*7/100,9)</f>
        <v>1.26</v>
      </c>
      <c r="J39">
        <v>0</v>
      </c>
      <c r="K39">
        <f>ROUND((18)*7/100,9)</f>
        <v>1.26</v>
      </c>
      <c r="O39">
        <f t="shared" si="28"/>
        <v>67754.98</v>
      </c>
      <c r="P39">
        <f t="shared" si="29"/>
        <v>978.45</v>
      </c>
      <c r="Q39">
        <f t="shared" si="30"/>
        <v>77.91</v>
      </c>
      <c r="R39">
        <f t="shared" si="31"/>
        <v>0.88</v>
      </c>
      <c r="S39">
        <f t="shared" si="32"/>
        <v>66698.62</v>
      </c>
      <c r="T39">
        <f t="shared" si="33"/>
        <v>0</v>
      </c>
      <c r="U39">
        <f t="shared" si="34"/>
        <v>131.59440000000001</v>
      </c>
      <c r="V39">
        <f t="shared" si="35"/>
        <v>0</v>
      </c>
      <c r="W39">
        <f t="shared" si="36"/>
        <v>0</v>
      </c>
      <c r="X39">
        <f t="shared" si="37"/>
        <v>46689.03</v>
      </c>
      <c r="Y39">
        <f t="shared" si="38"/>
        <v>6669.86</v>
      </c>
      <c r="AA39">
        <v>1471718271</v>
      </c>
      <c r="AB39">
        <f t="shared" si="39"/>
        <v>53773.79</v>
      </c>
      <c r="AC39">
        <f t="shared" ref="AC39:AC45" si="61">ROUND((ES39),6)</f>
        <v>776.55</v>
      </c>
      <c r="AD39">
        <f t="shared" ref="AD39:AD45" si="62">ROUND((((ET39)-(EU39))+AE39),6)</f>
        <v>61.83</v>
      </c>
      <c r="AE39">
        <f t="shared" ref="AE39:AF41" si="63">ROUND((EU39),6)</f>
        <v>0.7</v>
      </c>
      <c r="AF39">
        <f t="shared" si="63"/>
        <v>52935.41</v>
      </c>
      <c r="AG39">
        <f t="shared" si="40"/>
        <v>0</v>
      </c>
      <c r="AH39">
        <f t="shared" ref="AH39:AI41" si="64">(EW39)</f>
        <v>104.44</v>
      </c>
      <c r="AI39">
        <f t="shared" si="64"/>
        <v>0</v>
      </c>
      <c r="AJ39">
        <f t="shared" si="41"/>
        <v>0</v>
      </c>
      <c r="AK39">
        <v>53773.79</v>
      </c>
      <c r="AL39">
        <v>776.55</v>
      </c>
      <c r="AM39">
        <v>61.83</v>
      </c>
      <c r="AN39">
        <v>0.7</v>
      </c>
      <c r="AO39">
        <v>52935.41</v>
      </c>
      <c r="AP39">
        <v>0</v>
      </c>
      <c r="AQ39">
        <v>104.44</v>
      </c>
      <c r="AR39">
        <v>0</v>
      </c>
      <c r="AS39">
        <v>0</v>
      </c>
      <c r="AT39">
        <v>70</v>
      </c>
      <c r="AU39">
        <v>10</v>
      </c>
      <c r="AV39">
        <v>1</v>
      </c>
      <c r="AW39">
        <v>1</v>
      </c>
      <c r="AZ39">
        <v>1</v>
      </c>
      <c r="BA39">
        <v>1</v>
      </c>
      <c r="BB39">
        <v>1</v>
      </c>
      <c r="BC39">
        <v>1</v>
      </c>
      <c r="BD39" t="s">
        <v>3</v>
      </c>
      <c r="BE39" t="s">
        <v>3</v>
      </c>
      <c r="BF39" t="s">
        <v>3</v>
      </c>
      <c r="BG39" t="s">
        <v>3</v>
      </c>
      <c r="BH39">
        <v>0</v>
      </c>
      <c r="BI39">
        <v>4</v>
      </c>
      <c r="BJ39" t="s">
        <v>54</v>
      </c>
      <c r="BM39">
        <v>0</v>
      </c>
      <c r="BN39">
        <v>0</v>
      </c>
      <c r="BO39" t="s">
        <v>3</v>
      </c>
      <c r="BP39">
        <v>0</v>
      </c>
      <c r="BQ39">
        <v>1</v>
      </c>
      <c r="BR39">
        <v>0</v>
      </c>
      <c r="BS39">
        <v>1</v>
      </c>
      <c r="BT39">
        <v>1</v>
      </c>
      <c r="BU39">
        <v>1</v>
      </c>
      <c r="BV39">
        <v>1</v>
      </c>
      <c r="BW39">
        <v>1</v>
      </c>
      <c r="BX39">
        <v>1</v>
      </c>
      <c r="BY39" t="s">
        <v>3</v>
      </c>
      <c r="BZ39">
        <v>70</v>
      </c>
      <c r="CA39">
        <v>10</v>
      </c>
      <c r="CB39" t="s">
        <v>3</v>
      </c>
      <c r="CE39">
        <v>0</v>
      </c>
      <c r="CF39">
        <v>0</v>
      </c>
      <c r="CG39">
        <v>0</v>
      </c>
      <c r="CM39">
        <v>0</v>
      </c>
      <c r="CN39" t="s">
        <v>3</v>
      </c>
      <c r="CO39">
        <v>0</v>
      </c>
      <c r="CP39">
        <f t="shared" si="42"/>
        <v>67754.98</v>
      </c>
      <c r="CQ39">
        <f t="shared" si="43"/>
        <v>776.55</v>
      </c>
      <c r="CR39">
        <f t="shared" ref="CR39:CR45" si="65">((((ET39)*BB39-(EU39)*BS39)+AE39*BS39)*AV39)</f>
        <v>61.83</v>
      </c>
      <c r="CS39">
        <f t="shared" si="44"/>
        <v>0.7</v>
      </c>
      <c r="CT39">
        <f t="shared" si="45"/>
        <v>52935.41</v>
      </c>
      <c r="CU39">
        <f t="shared" si="46"/>
        <v>0</v>
      </c>
      <c r="CV39">
        <f t="shared" si="47"/>
        <v>104.44</v>
      </c>
      <c r="CW39">
        <f t="shared" si="48"/>
        <v>0</v>
      </c>
      <c r="CX39">
        <f t="shared" si="49"/>
        <v>0</v>
      </c>
      <c r="CY39">
        <f t="shared" si="50"/>
        <v>46689.033999999992</v>
      </c>
      <c r="CZ39">
        <f t="shared" si="51"/>
        <v>6669.8619999999992</v>
      </c>
      <c r="DC39" t="s">
        <v>3</v>
      </c>
      <c r="DD39" t="s">
        <v>3</v>
      </c>
      <c r="DE39" t="s">
        <v>3</v>
      </c>
      <c r="DF39" t="s">
        <v>3</v>
      </c>
      <c r="DG39" t="s">
        <v>3</v>
      </c>
      <c r="DH39" t="s">
        <v>3</v>
      </c>
      <c r="DI39" t="s">
        <v>3</v>
      </c>
      <c r="DJ39" t="s">
        <v>3</v>
      </c>
      <c r="DK39" t="s">
        <v>3</v>
      </c>
      <c r="DL39" t="s">
        <v>3</v>
      </c>
      <c r="DM39" t="s">
        <v>3</v>
      </c>
      <c r="DN39">
        <v>0</v>
      </c>
      <c r="DO39">
        <v>0</v>
      </c>
      <c r="DP39">
        <v>1</v>
      </c>
      <c r="DQ39">
        <v>1</v>
      </c>
      <c r="DU39">
        <v>16987630</v>
      </c>
      <c r="DV39" t="s">
        <v>53</v>
      </c>
      <c r="DW39" t="s">
        <v>53</v>
      </c>
      <c r="DX39">
        <v>100</v>
      </c>
      <c r="DZ39" t="s">
        <v>3</v>
      </c>
      <c r="EA39" t="s">
        <v>3</v>
      </c>
      <c r="EB39" t="s">
        <v>3</v>
      </c>
      <c r="EC39" t="s">
        <v>3</v>
      </c>
      <c r="EE39">
        <v>1441815344</v>
      </c>
      <c r="EF39">
        <v>1</v>
      </c>
      <c r="EG39" t="s">
        <v>21</v>
      </c>
      <c r="EH39">
        <v>0</v>
      </c>
      <c r="EI39" t="s">
        <v>3</v>
      </c>
      <c r="EJ39">
        <v>4</v>
      </c>
      <c r="EK39">
        <v>0</v>
      </c>
      <c r="EL39" t="s">
        <v>22</v>
      </c>
      <c r="EM39" t="s">
        <v>23</v>
      </c>
      <c r="EO39" t="s">
        <v>3</v>
      </c>
      <c r="EQ39">
        <v>0</v>
      </c>
      <c r="ER39">
        <v>53773.79</v>
      </c>
      <c r="ES39">
        <v>776.55</v>
      </c>
      <c r="ET39">
        <v>61.83</v>
      </c>
      <c r="EU39">
        <v>0.7</v>
      </c>
      <c r="EV39">
        <v>52935.41</v>
      </c>
      <c r="EW39">
        <v>104.44</v>
      </c>
      <c r="EX39">
        <v>0</v>
      </c>
      <c r="EY39">
        <v>0</v>
      </c>
      <c r="FQ39">
        <v>0</v>
      </c>
      <c r="FR39">
        <f t="shared" si="52"/>
        <v>0</v>
      </c>
      <c r="FS39">
        <v>0</v>
      </c>
      <c r="FX39">
        <v>70</v>
      </c>
      <c r="FY39">
        <v>10</v>
      </c>
      <c r="GA39" t="s">
        <v>3</v>
      </c>
      <c r="GD39">
        <v>0</v>
      </c>
      <c r="GF39">
        <v>-36092940</v>
      </c>
      <c r="GG39">
        <v>2</v>
      </c>
      <c r="GH39">
        <v>1</v>
      </c>
      <c r="GI39">
        <v>-2</v>
      </c>
      <c r="GJ39">
        <v>0</v>
      </c>
      <c r="GK39">
        <f>ROUND(R39*(R12)/100,2)</f>
        <v>0.95</v>
      </c>
      <c r="GL39">
        <f t="shared" si="53"/>
        <v>0</v>
      </c>
      <c r="GM39">
        <f t="shared" si="54"/>
        <v>121114.82</v>
      </c>
      <c r="GN39">
        <f t="shared" si="55"/>
        <v>0</v>
      </c>
      <c r="GO39">
        <f t="shared" si="56"/>
        <v>0</v>
      </c>
      <c r="GP39">
        <f t="shared" si="57"/>
        <v>121114.82</v>
      </c>
      <c r="GR39">
        <v>0</v>
      </c>
      <c r="GS39">
        <v>3</v>
      </c>
      <c r="GT39">
        <v>0</v>
      </c>
      <c r="GU39" t="s">
        <v>3</v>
      </c>
      <c r="GV39">
        <f t="shared" si="58"/>
        <v>0</v>
      </c>
      <c r="GW39">
        <v>1</v>
      </c>
      <c r="GX39">
        <f t="shared" si="59"/>
        <v>0</v>
      </c>
      <c r="HA39">
        <v>0</v>
      </c>
      <c r="HB39">
        <v>0</v>
      </c>
      <c r="HC39">
        <f t="shared" si="60"/>
        <v>0</v>
      </c>
      <c r="HE39" t="s">
        <v>3</v>
      </c>
      <c r="HF39" t="s">
        <v>3</v>
      </c>
      <c r="HM39" t="s">
        <v>3</v>
      </c>
      <c r="HN39" t="s">
        <v>3</v>
      </c>
      <c r="HO39" t="s">
        <v>3</v>
      </c>
      <c r="HP39" t="s">
        <v>3</v>
      </c>
      <c r="HQ39" t="s">
        <v>3</v>
      </c>
      <c r="IK39">
        <v>0</v>
      </c>
    </row>
    <row r="40" spans="1:245" x14ac:dyDescent="0.2">
      <c r="A40">
        <v>17</v>
      </c>
      <c r="B40">
        <v>1</v>
      </c>
      <c r="D40">
        <f>ROW(EtalonRes!A20)</f>
        <v>20</v>
      </c>
      <c r="E40" t="s">
        <v>55</v>
      </c>
      <c r="F40" t="s">
        <v>56</v>
      </c>
      <c r="G40" t="s">
        <v>57</v>
      </c>
      <c r="H40" t="s">
        <v>53</v>
      </c>
      <c r="I40">
        <f>ROUND((13)*7/100,9)</f>
        <v>0.91</v>
      </c>
      <c r="J40">
        <v>0</v>
      </c>
      <c r="K40">
        <f>ROUND((13)*7/100,9)</f>
        <v>0.91</v>
      </c>
      <c r="O40">
        <f t="shared" si="28"/>
        <v>70838.14</v>
      </c>
      <c r="P40">
        <f t="shared" si="29"/>
        <v>706.66</v>
      </c>
      <c r="Q40">
        <f t="shared" si="30"/>
        <v>56.27</v>
      </c>
      <c r="R40">
        <f t="shared" si="31"/>
        <v>0.64</v>
      </c>
      <c r="S40">
        <f t="shared" si="32"/>
        <v>70075.210000000006</v>
      </c>
      <c r="T40">
        <f t="shared" si="33"/>
        <v>0</v>
      </c>
      <c r="U40">
        <f t="shared" si="34"/>
        <v>138.25630000000001</v>
      </c>
      <c r="V40">
        <f t="shared" si="35"/>
        <v>0</v>
      </c>
      <c r="W40">
        <f t="shared" si="36"/>
        <v>0</v>
      </c>
      <c r="X40">
        <f t="shared" si="37"/>
        <v>49052.65</v>
      </c>
      <c r="Y40">
        <f t="shared" si="38"/>
        <v>7007.52</v>
      </c>
      <c r="AA40">
        <v>1471718271</v>
      </c>
      <c r="AB40">
        <f t="shared" si="39"/>
        <v>77844.100000000006</v>
      </c>
      <c r="AC40">
        <f t="shared" si="61"/>
        <v>776.55</v>
      </c>
      <c r="AD40">
        <f t="shared" si="62"/>
        <v>61.83</v>
      </c>
      <c r="AE40">
        <f t="shared" si="63"/>
        <v>0.7</v>
      </c>
      <c r="AF40">
        <f t="shared" si="63"/>
        <v>77005.72</v>
      </c>
      <c r="AG40">
        <f t="shared" si="40"/>
        <v>0</v>
      </c>
      <c r="AH40">
        <f t="shared" si="64"/>
        <v>151.93</v>
      </c>
      <c r="AI40">
        <f t="shared" si="64"/>
        <v>0</v>
      </c>
      <c r="AJ40">
        <f t="shared" si="41"/>
        <v>0</v>
      </c>
      <c r="AK40">
        <v>77844.100000000006</v>
      </c>
      <c r="AL40">
        <v>776.55</v>
      </c>
      <c r="AM40">
        <v>61.83</v>
      </c>
      <c r="AN40">
        <v>0.7</v>
      </c>
      <c r="AO40">
        <v>77005.72</v>
      </c>
      <c r="AP40">
        <v>0</v>
      </c>
      <c r="AQ40">
        <v>151.93</v>
      </c>
      <c r="AR40">
        <v>0</v>
      </c>
      <c r="AS40">
        <v>0</v>
      </c>
      <c r="AT40">
        <v>70</v>
      </c>
      <c r="AU40">
        <v>10</v>
      </c>
      <c r="AV40">
        <v>1</v>
      </c>
      <c r="AW40">
        <v>1</v>
      </c>
      <c r="AZ40">
        <v>1</v>
      </c>
      <c r="BA40">
        <v>1</v>
      </c>
      <c r="BB40">
        <v>1</v>
      </c>
      <c r="BC40">
        <v>1</v>
      </c>
      <c r="BD40" t="s">
        <v>3</v>
      </c>
      <c r="BE40" t="s">
        <v>3</v>
      </c>
      <c r="BF40" t="s">
        <v>3</v>
      </c>
      <c r="BG40" t="s">
        <v>3</v>
      </c>
      <c r="BH40">
        <v>0</v>
      </c>
      <c r="BI40">
        <v>4</v>
      </c>
      <c r="BJ40" t="s">
        <v>58</v>
      </c>
      <c r="BM40">
        <v>0</v>
      </c>
      <c r="BN40">
        <v>0</v>
      </c>
      <c r="BO40" t="s">
        <v>3</v>
      </c>
      <c r="BP40">
        <v>0</v>
      </c>
      <c r="BQ40">
        <v>1</v>
      </c>
      <c r="BR40">
        <v>0</v>
      </c>
      <c r="BS40">
        <v>1</v>
      </c>
      <c r="BT40">
        <v>1</v>
      </c>
      <c r="BU40">
        <v>1</v>
      </c>
      <c r="BV40">
        <v>1</v>
      </c>
      <c r="BW40">
        <v>1</v>
      </c>
      <c r="BX40">
        <v>1</v>
      </c>
      <c r="BY40" t="s">
        <v>3</v>
      </c>
      <c r="BZ40">
        <v>70</v>
      </c>
      <c r="CA40">
        <v>10</v>
      </c>
      <c r="CB40" t="s">
        <v>3</v>
      </c>
      <c r="CE40">
        <v>0</v>
      </c>
      <c r="CF40">
        <v>0</v>
      </c>
      <c r="CG40">
        <v>0</v>
      </c>
      <c r="CM40">
        <v>0</v>
      </c>
      <c r="CN40" t="s">
        <v>3</v>
      </c>
      <c r="CO40">
        <v>0</v>
      </c>
      <c r="CP40">
        <f t="shared" si="42"/>
        <v>70838.14</v>
      </c>
      <c r="CQ40">
        <f t="shared" si="43"/>
        <v>776.55</v>
      </c>
      <c r="CR40">
        <f t="shared" si="65"/>
        <v>61.83</v>
      </c>
      <c r="CS40">
        <f t="shared" si="44"/>
        <v>0.7</v>
      </c>
      <c r="CT40">
        <f t="shared" si="45"/>
        <v>77005.72</v>
      </c>
      <c r="CU40">
        <f t="shared" si="46"/>
        <v>0</v>
      </c>
      <c r="CV40">
        <f t="shared" si="47"/>
        <v>151.93</v>
      </c>
      <c r="CW40">
        <f t="shared" si="48"/>
        <v>0</v>
      </c>
      <c r="CX40">
        <f t="shared" si="49"/>
        <v>0</v>
      </c>
      <c r="CY40">
        <f t="shared" si="50"/>
        <v>49052.647000000004</v>
      </c>
      <c r="CZ40">
        <f t="shared" si="51"/>
        <v>7007.5210000000006</v>
      </c>
      <c r="DC40" t="s">
        <v>3</v>
      </c>
      <c r="DD40" t="s">
        <v>3</v>
      </c>
      <c r="DE40" t="s">
        <v>3</v>
      </c>
      <c r="DF40" t="s">
        <v>3</v>
      </c>
      <c r="DG40" t="s">
        <v>3</v>
      </c>
      <c r="DH40" t="s">
        <v>3</v>
      </c>
      <c r="DI40" t="s">
        <v>3</v>
      </c>
      <c r="DJ40" t="s">
        <v>3</v>
      </c>
      <c r="DK40" t="s">
        <v>3</v>
      </c>
      <c r="DL40" t="s">
        <v>3</v>
      </c>
      <c r="DM40" t="s">
        <v>3</v>
      </c>
      <c r="DN40">
        <v>0</v>
      </c>
      <c r="DO40">
        <v>0</v>
      </c>
      <c r="DP40">
        <v>1</v>
      </c>
      <c r="DQ40">
        <v>1</v>
      </c>
      <c r="DU40">
        <v>16987630</v>
      </c>
      <c r="DV40" t="s">
        <v>53</v>
      </c>
      <c r="DW40" t="s">
        <v>53</v>
      </c>
      <c r="DX40">
        <v>100</v>
      </c>
      <c r="DZ40" t="s">
        <v>3</v>
      </c>
      <c r="EA40" t="s">
        <v>3</v>
      </c>
      <c r="EB40" t="s">
        <v>3</v>
      </c>
      <c r="EC40" t="s">
        <v>3</v>
      </c>
      <c r="EE40">
        <v>1441815344</v>
      </c>
      <c r="EF40">
        <v>1</v>
      </c>
      <c r="EG40" t="s">
        <v>21</v>
      </c>
      <c r="EH40">
        <v>0</v>
      </c>
      <c r="EI40" t="s">
        <v>3</v>
      </c>
      <c r="EJ40">
        <v>4</v>
      </c>
      <c r="EK40">
        <v>0</v>
      </c>
      <c r="EL40" t="s">
        <v>22</v>
      </c>
      <c r="EM40" t="s">
        <v>23</v>
      </c>
      <c r="EO40" t="s">
        <v>3</v>
      </c>
      <c r="EQ40">
        <v>0</v>
      </c>
      <c r="ER40">
        <v>77844.100000000006</v>
      </c>
      <c r="ES40">
        <v>776.55</v>
      </c>
      <c r="ET40">
        <v>61.83</v>
      </c>
      <c r="EU40">
        <v>0.7</v>
      </c>
      <c r="EV40">
        <v>77005.72</v>
      </c>
      <c r="EW40">
        <v>151.93</v>
      </c>
      <c r="EX40">
        <v>0</v>
      </c>
      <c r="EY40">
        <v>0</v>
      </c>
      <c r="FQ40">
        <v>0</v>
      </c>
      <c r="FR40">
        <f t="shared" si="52"/>
        <v>0</v>
      </c>
      <c r="FS40">
        <v>0</v>
      </c>
      <c r="FX40">
        <v>70</v>
      </c>
      <c r="FY40">
        <v>10</v>
      </c>
      <c r="GA40" t="s">
        <v>3</v>
      </c>
      <c r="GD40">
        <v>0</v>
      </c>
      <c r="GF40">
        <v>1944845796</v>
      </c>
      <c r="GG40">
        <v>2</v>
      </c>
      <c r="GH40">
        <v>1</v>
      </c>
      <c r="GI40">
        <v>-2</v>
      </c>
      <c r="GJ40">
        <v>0</v>
      </c>
      <c r="GK40">
        <f>ROUND(R40*(R12)/100,2)</f>
        <v>0.69</v>
      </c>
      <c r="GL40">
        <f t="shared" si="53"/>
        <v>0</v>
      </c>
      <c r="GM40">
        <f t="shared" si="54"/>
        <v>126899</v>
      </c>
      <c r="GN40">
        <f t="shared" si="55"/>
        <v>0</v>
      </c>
      <c r="GO40">
        <f t="shared" si="56"/>
        <v>0</v>
      </c>
      <c r="GP40">
        <f t="shared" si="57"/>
        <v>126899</v>
      </c>
      <c r="GR40">
        <v>0</v>
      </c>
      <c r="GS40">
        <v>3</v>
      </c>
      <c r="GT40">
        <v>0</v>
      </c>
      <c r="GU40" t="s">
        <v>3</v>
      </c>
      <c r="GV40">
        <f t="shared" si="58"/>
        <v>0</v>
      </c>
      <c r="GW40">
        <v>1</v>
      </c>
      <c r="GX40">
        <f t="shared" si="59"/>
        <v>0</v>
      </c>
      <c r="HA40">
        <v>0</v>
      </c>
      <c r="HB40">
        <v>0</v>
      </c>
      <c r="HC40">
        <f t="shared" si="60"/>
        <v>0</v>
      </c>
      <c r="HE40" t="s">
        <v>3</v>
      </c>
      <c r="HF40" t="s">
        <v>3</v>
      </c>
      <c r="HM40" t="s">
        <v>3</v>
      </c>
      <c r="HN40" t="s">
        <v>3</v>
      </c>
      <c r="HO40" t="s">
        <v>3</v>
      </c>
      <c r="HP40" t="s">
        <v>3</v>
      </c>
      <c r="HQ40" t="s">
        <v>3</v>
      </c>
      <c r="IK40">
        <v>0</v>
      </c>
    </row>
    <row r="41" spans="1:245" x14ac:dyDescent="0.2">
      <c r="A41">
        <v>17</v>
      </c>
      <c r="B41">
        <v>1</v>
      </c>
      <c r="D41">
        <f>ROW(EtalonRes!A25)</f>
        <v>25</v>
      </c>
      <c r="E41" t="s">
        <v>59</v>
      </c>
      <c r="F41" t="s">
        <v>60</v>
      </c>
      <c r="G41" t="s">
        <v>61</v>
      </c>
      <c r="H41" t="s">
        <v>53</v>
      </c>
      <c r="I41">
        <f>ROUND(2*7/100,9)</f>
        <v>0.14000000000000001</v>
      </c>
      <c r="J41">
        <v>0</v>
      </c>
      <c r="K41">
        <f>ROUND(2*7/100,9)</f>
        <v>0.14000000000000001</v>
      </c>
      <c r="O41">
        <f t="shared" si="28"/>
        <v>8098.85</v>
      </c>
      <c r="P41">
        <f t="shared" si="29"/>
        <v>108.72</v>
      </c>
      <c r="Q41">
        <f t="shared" si="30"/>
        <v>8.66</v>
      </c>
      <c r="R41">
        <f t="shared" si="31"/>
        <v>0.1</v>
      </c>
      <c r="S41">
        <f t="shared" si="32"/>
        <v>7981.47</v>
      </c>
      <c r="T41">
        <f t="shared" si="33"/>
        <v>0</v>
      </c>
      <c r="U41">
        <f t="shared" si="34"/>
        <v>15.747200000000001</v>
      </c>
      <c r="V41">
        <f t="shared" si="35"/>
        <v>0</v>
      </c>
      <c r="W41">
        <f t="shared" si="36"/>
        <v>0</v>
      </c>
      <c r="X41">
        <f t="shared" si="37"/>
        <v>5587.03</v>
      </c>
      <c r="Y41">
        <f t="shared" si="38"/>
        <v>798.15</v>
      </c>
      <c r="AA41">
        <v>1471718271</v>
      </c>
      <c r="AB41">
        <f t="shared" si="39"/>
        <v>57848.87</v>
      </c>
      <c r="AC41">
        <f t="shared" si="61"/>
        <v>776.55</v>
      </c>
      <c r="AD41">
        <f t="shared" si="62"/>
        <v>61.83</v>
      </c>
      <c r="AE41">
        <f t="shared" si="63"/>
        <v>0.7</v>
      </c>
      <c r="AF41">
        <f t="shared" si="63"/>
        <v>57010.49</v>
      </c>
      <c r="AG41">
        <f t="shared" si="40"/>
        <v>0</v>
      </c>
      <c r="AH41">
        <f t="shared" si="64"/>
        <v>112.48</v>
      </c>
      <c r="AI41">
        <f t="shared" si="64"/>
        <v>0</v>
      </c>
      <c r="AJ41">
        <f t="shared" si="41"/>
        <v>0</v>
      </c>
      <c r="AK41">
        <v>57848.87</v>
      </c>
      <c r="AL41">
        <v>776.55</v>
      </c>
      <c r="AM41">
        <v>61.83</v>
      </c>
      <c r="AN41">
        <v>0.7</v>
      </c>
      <c r="AO41">
        <v>57010.49</v>
      </c>
      <c r="AP41">
        <v>0</v>
      </c>
      <c r="AQ41">
        <v>112.48</v>
      </c>
      <c r="AR41">
        <v>0</v>
      </c>
      <c r="AS41">
        <v>0</v>
      </c>
      <c r="AT41">
        <v>70</v>
      </c>
      <c r="AU41">
        <v>10</v>
      </c>
      <c r="AV41">
        <v>1</v>
      </c>
      <c r="AW41">
        <v>1</v>
      </c>
      <c r="AZ41">
        <v>1</v>
      </c>
      <c r="BA41">
        <v>1</v>
      </c>
      <c r="BB41">
        <v>1</v>
      </c>
      <c r="BC41">
        <v>1</v>
      </c>
      <c r="BD41" t="s">
        <v>3</v>
      </c>
      <c r="BE41" t="s">
        <v>3</v>
      </c>
      <c r="BF41" t="s">
        <v>3</v>
      </c>
      <c r="BG41" t="s">
        <v>3</v>
      </c>
      <c r="BH41">
        <v>0</v>
      </c>
      <c r="BI41">
        <v>4</v>
      </c>
      <c r="BJ41" t="s">
        <v>62</v>
      </c>
      <c r="BM41">
        <v>0</v>
      </c>
      <c r="BN41">
        <v>0</v>
      </c>
      <c r="BO41" t="s">
        <v>3</v>
      </c>
      <c r="BP41">
        <v>0</v>
      </c>
      <c r="BQ41">
        <v>1</v>
      </c>
      <c r="BR41">
        <v>0</v>
      </c>
      <c r="BS41">
        <v>1</v>
      </c>
      <c r="BT41">
        <v>1</v>
      </c>
      <c r="BU41">
        <v>1</v>
      </c>
      <c r="BV41">
        <v>1</v>
      </c>
      <c r="BW41">
        <v>1</v>
      </c>
      <c r="BX41">
        <v>1</v>
      </c>
      <c r="BY41" t="s">
        <v>3</v>
      </c>
      <c r="BZ41">
        <v>70</v>
      </c>
      <c r="CA41">
        <v>10</v>
      </c>
      <c r="CB41" t="s">
        <v>3</v>
      </c>
      <c r="CE41">
        <v>0</v>
      </c>
      <c r="CF41">
        <v>0</v>
      </c>
      <c r="CG41">
        <v>0</v>
      </c>
      <c r="CM41">
        <v>0</v>
      </c>
      <c r="CN41" t="s">
        <v>3</v>
      </c>
      <c r="CO41">
        <v>0</v>
      </c>
      <c r="CP41">
        <f t="shared" si="42"/>
        <v>8098.85</v>
      </c>
      <c r="CQ41">
        <f t="shared" si="43"/>
        <v>776.55</v>
      </c>
      <c r="CR41">
        <f t="shared" si="65"/>
        <v>61.83</v>
      </c>
      <c r="CS41">
        <f t="shared" si="44"/>
        <v>0.7</v>
      </c>
      <c r="CT41">
        <f t="shared" si="45"/>
        <v>57010.49</v>
      </c>
      <c r="CU41">
        <f t="shared" si="46"/>
        <v>0</v>
      </c>
      <c r="CV41">
        <f t="shared" si="47"/>
        <v>112.48</v>
      </c>
      <c r="CW41">
        <f t="shared" si="48"/>
        <v>0</v>
      </c>
      <c r="CX41">
        <f t="shared" si="49"/>
        <v>0</v>
      </c>
      <c r="CY41">
        <f t="shared" si="50"/>
        <v>5587.0290000000005</v>
      </c>
      <c r="CZ41">
        <f t="shared" si="51"/>
        <v>798.14699999999993</v>
      </c>
      <c r="DC41" t="s">
        <v>3</v>
      </c>
      <c r="DD41" t="s">
        <v>3</v>
      </c>
      <c r="DE41" t="s">
        <v>3</v>
      </c>
      <c r="DF41" t="s">
        <v>3</v>
      </c>
      <c r="DG41" t="s">
        <v>3</v>
      </c>
      <c r="DH41" t="s">
        <v>3</v>
      </c>
      <c r="DI41" t="s">
        <v>3</v>
      </c>
      <c r="DJ41" t="s">
        <v>3</v>
      </c>
      <c r="DK41" t="s">
        <v>3</v>
      </c>
      <c r="DL41" t="s">
        <v>3</v>
      </c>
      <c r="DM41" t="s">
        <v>3</v>
      </c>
      <c r="DN41">
        <v>0</v>
      </c>
      <c r="DO41">
        <v>0</v>
      </c>
      <c r="DP41">
        <v>1</v>
      </c>
      <c r="DQ41">
        <v>1</v>
      </c>
      <c r="DU41">
        <v>16987630</v>
      </c>
      <c r="DV41" t="s">
        <v>53</v>
      </c>
      <c r="DW41" t="s">
        <v>53</v>
      </c>
      <c r="DX41">
        <v>100</v>
      </c>
      <c r="DZ41" t="s">
        <v>3</v>
      </c>
      <c r="EA41" t="s">
        <v>3</v>
      </c>
      <c r="EB41" t="s">
        <v>3</v>
      </c>
      <c r="EC41" t="s">
        <v>3</v>
      </c>
      <c r="EE41">
        <v>1441815344</v>
      </c>
      <c r="EF41">
        <v>1</v>
      </c>
      <c r="EG41" t="s">
        <v>21</v>
      </c>
      <c r="EH41">
        <v>0</v>
      </c>
      <c r="EI41" t="s">
        <v>3</v>
      </c>
      <c r="EJ41">
        <v>4</v>
      </c>
      <c r="EK41">
        <v>0</v>
      </c>
      <c r="EL41" t="s">
        <v>22</v>
      </c>
      <c r="EM41" t="s">
        <v>23</v>
      </c>
      <c r="EO41" t="s">
        <v>3</v>
      </c>
      <c r="EQ41">
        <v>0</v>
      </c>
      <c r="ER41">
        <v>57848.87</v>
      </c>
      <c r="ES41">
        <v>776.55</v>
      </c>
      <c r="ET41">
        <v>61.83</v>
      </c>
      <c r="EU41">
        <v>0.7</v>
      </c>
      <c r="EV41">
        <v>57010.49</v>
      </c>
      <c r="EW41">
        <v>112.48</v>
      </c>
      <c r="EX41">
        <v>0</v>
      </c>
      <c r="EY41">
        <v>0</v>
      </c>
      <c r="FQ41">
        <v>0</v>
      </c>
      <c r="FR41">
        <f t="shared" si="52"/>
        <v>0</v>
      </c>
      <c r="FS41">
        <v>0</v>
      </c>
      <c r="FX41">
        <v>70</v>
      </c>
      <c r="FY41">
        <v>10</v>
      </c>
      <c r="GA41" t="s">
        <v>3</v>
      </c>
      <c r="GD41">
        <v>0</v>
      </c>
      <c r="GF41">
        <v>1211882727</v>
      </c>
      <c r="GG41">
        <v>2</v>
      </c>
      <c r="GH41">
        <v>1</v>
      </c>
      <c r="GI41">
        <v>-2</v>
      </c>
      <c r="GJ41">
        <v>0</v>
      </c>
      <c r="GK41">
        <f>ROUND(R41*(R12)/100,2)</f>
        <v>0.11</v>
      </c>
      <c r="GL41">
        <f t="shared" si="53"/>
        <v>0</v>
      </c>
      <c r="GM41">
        <f t="shared" si="54"/>
        <v>14484.14</v>
      </c>
      <c r="GN41">
        <f t="shared" si="55"/>
        <v>0</v>
      </c>
      <c r="GO41">
        <f t="shared" si="56"/>
        <v>0</v>
      </c>
      <c r="GP41">
        <f t="shared" si="57"/>
        <v>14484.14</v>
      </c>
      <c r="GR41">
        <v>0</v>
      </c>
      <c r="GS41">
        <v>3</v>
      </c>
      <c r="GT41">
        <v>0</v>
      </c>
      <c r="GU41" t="s">
        <v>3</v>
      </c>
      <c r="GV41">
        <f t="shared" si="58"/>
        <v>0</v>
      </c>
      <c r="GW41">
        <v>1</v>
      </c>
      <c r="GX41">
        <f t="shared" si="59"/>
        <v>0</v>
      </c>
      <c r="HA41">
        <v>0</v>
      </c>
      <c r="HB41">
        <v>0</v>
      </c>
      <c r="HC41">
        <f t="shared" si="60"/>
        <v>0</v>
      </c>
      <c r="HE41" t="s">
        <v>3</v>
      </c>
      <c r="HF41" t="s">
        <v>3</v>
      </c>
      <c r="HM41" t="s">
        <v>3</v>
      </c>
      <c r="HN41" t="s">
        <v>3</v>
      </c>
      <c r="HO41" t="s">
        <v>3</v>
      </c>
      <c r="HP41" t="s">
        <v>3</v>
      </c>
      <c r="HQ41" t="s">
        <v>3</v>
      </c>
      <c r="IK41">
        <v>0</v>
      </c>
    </row>
    <row r="42" spans="1:245" x14ac:dyDescent="0.2">
      <c r="A42">
        <v>17</v>
      </c>
      <c r="B42">
        <v>1</v>
      </c>
      <c r="D42">
        <f>ROW(EtalonRes!A26)</f>
        <v>26</v>
      </c>
      <c r="E42" t="s">
        <v>3</v>
      </c>
      <c r="F42" t="s">
        <v>63</v>
      </c>
      <c r="G42" t="s">
        <v>64</v>
      </c>
      <c r="H42" t="s">
        <v>36</v>
      </c>
      <c r="I42">
        <v>39</v>
      </c>
      <c r="J42">
        <v>0</v>
      </c>
      <c r="K42">
        <v>39</v>
      </c>
      <c r="O42">
        <f t="shared" si="28"/>
        <v>157978.07999999999</v>
      </c>
      <c r="P42">
        <f t="shared" si="29"/>
        <v>0</v>
      </c>
      <c r="Q42">
        <f t="shared" si="30"/>
        <v>0</v>
      </c>
      <c r="R42">
        <f t="shared" si="31"/>
        <v>0</v>
      </c>
      <c r="S42">
        <f t="shared" si="32"/>
        <v>157978.07999999999</v>
      </c>
      <c r="T42">
        <f t="shared" si="33"/>
        <v>0</v>
      </c>
      <c r="U42">
        <f t="shared" si="34"/>
        <v>255.83999999999997</v>
      </c>
      <c r="V42">
        <f t="shared" si="35"/>
        <v>0</v>
      </c>
      <c r="W42">
        <f t="shared" si="36"/>
        <v>0</v>
      </c>
      <c r="X42">
        <f t="shared" si="37"/>
        <v>110584.66</v>
      </c>
      <c r="Y42">
        <f t="shared" si="38"/>
        <v>15797.81</v>
      </c>
      <c r="AA42">
        <v>-1</v>
      </c>
      <c r="AB42">
        <f t="shared" si="39"/>
        <v>4050.72</v>
      </c>
      <c r="AC42">
        <f t="shared" si="61"/>
        <v>0</v>
      </c>
      <c r="AD42">
        <f t="shared" si="62"/>
        <v>0</v>
      </c>
      <c r="AE42">
        <f>ROUND((EU42),6)</f>
        <v>0</v>
      </c>
      <c r="AF42">
        <f>ROUND(((EV42*8)),6)</f>
        <v>4050.72</v>
      </c>
      <c r="AG42">
        <f t="shared" si="40"/>
        <v>0</v>
      </c>
      <c r="AH42">
        <f>((EW42*8))</f>
        <v>6.56</v>
      </c>
      <c r="AI42">
        <f>(EX42)</f>
        <v>0</v>
      </c>
      <c r="AJ42">
        <f t="shared" si="41"/>
        <v>0</v>
      </c>
      <c r="AK42">
        <v>506.34</v>
      </c>
      <c r="AL42">
        <v>0</v>
      </c>
      <c r="AM42">
        <v>0</v>
      </c>
      <c r="AN42">
        <v>0</v>
      </c>
      <c r="AO42">
        <v>506.34</v>
      </c>
      <c r="AP42">
        <v>0</v>
      </c>
      <c r="AQ42">
        <v>0.82</v>
      </c>
      <c r="AR42">
        <v>0</v>
      </c>
      <c r="AS42">
        <v>0</v>
      </c>
      <c r="AT42">
        <v>70</v>
      </c>
      <c r="AU42">
        <v>10</v>
      </c>
      <c r="AV42">
        <v>1</v>
      </c>
      <c r="AW42">
        <v>1</v>
      </c>
      <c r="AZ42">
        <v>1</v>
      </c>
      <c r="BA42">
        <v>1</v>
      </c>
      <c r="BB42">
        <v>1</v>
      </c>
      <c r="BC42">
        <v>1</v>
      </c>
      <c r="BD42" t="s">
        <v>3</v>
      </c>
      <c r="BE42" t="s">
        <v>3</v>
      </c>
      <c r="BF42" t="s">
        <v>3</v>
      </c>
      <c r="BG42" t="s">
        <v>3</v>
      </c>
      <c r="BH42">
        <v>0</v>
      </c>
      <c r="BI42">
        <v>4</v>
      </c>
      <c r="BJ42" t="s">
        <v>65</v>
      </c>
      <c r="BM42">
        <v>0</v>
      </c>
      <c r="BN42">
        <v>0</v>
      </c>
      <c r="BO42" t="s">
        <v>3</v>
      </c>
      <c r="BP42">
        <v>0</v>
      </c>
      <c r="BQ42">
        <v>1</v>
      </c>
      <c r="BR42">
        <v>0</v>
      </c>
      <c r="BS42">
        <v>1</v>
      </c>
      <c r="BT42">
        <v>1</v>
      </c>
      <c r="BU42">
        <v>1</v>
      </c>
      <c r="BV42">
        <v>1</v>
      </c>
      <c r="BW42">
        <v>1</v>
      </c>
      <c r="BX42">
        <v>1</v>
      </c>
      <c r="BY42" t="s">
        <v>3</v>
      </c>
      <c r="BZ42">
        <v>70</v>
      </c>
      <c r="CA42">
        <v>10</v>
      </c>
      <c r="CB42" t="s">
        <v>3</v>
      </c>
      <c r="CE42">
        <v>0</v>
      </c>
      <c r="CF42">
        <v>0</v>
      </c>
      <c r="CG42">
        <v>0</v>
      </c>
      <c r="CM42">
        <v>0</v>
      </c>
      <c r="CN42" t="s">
        <v>3</v>
      </c>
      <c r="CO42">
        <v>0</v>
      </c>
      <c r="CP42">
        <f t="shared" si="42"/>
        <v>157978.07999999999</v>
      </c>
      <c r="CQ42">
        <f t="shared" si="43"/>
        <v>0</v>
      </c>
      <c r="CR42">
        <f t="shared" si="65"/>
        <v>0</v>
      </c>
      <c r="CS42">
        <f t="shared" si="44"/>
        <v>0</v>
      </c>
      <c r="CT42">
        <f t="shared" si="45"/>
        <v>4050.72</v>
      </c>
      <c r="CU42">
        <f t="shared" si="46"/>
        <v>0</v>
      </c>
      <c r="CV42">
        <f t="shared" si="47"/>
        <v>6.56</v>
      </c>
      <c r="CW42">
        <f t="shared" si="48"/>
        <v>0</v>
      </c>
      <c r="CX42">
        <f t="shared" si="49"/>
        <v>0</v>
      </c>
      <c r="CY42">
        <f t="shared" si="50"/>
        <v>110584.656</v>
      </c>
      <c r="CZ42">
        <f t="shared" si="51"/>
        <v>15797.807999999997</v>
      </c>
      <c r="DC42" t="s">
        <v>3</v>
      </c>
      <c r="DD42" t="s">
        <v>3</v>
      </c>
      <c r="DE42" t="s">
        <v>3</v>
      </c>
      <c r="DF42" t="s">
        <v>3</v>
      </c>
      <c r="DG42" t="s">
        <v>27</v>
      </c>
      <c r="DH42" t="s">
        <v>3</v>
      </c>
      <c r="DI42" t="s">
        <v>27</v>
      </c>
      <c r="DJ42" t="s">
        <v>3</v>
      </c>
      <c r="DK42" t="s">
        <v>3</v>
      </c>
      <c r="DL42" t="s">
        <v>3</v>
      </c>
      <c r="DM42" t="s">
        <v>3</v>
      </c>
      <c r="DN42">
        <v>0</v>
      </c>
      <c r="DO42">
        <v>0</v>
      </c>
      <c r="DP42">
        <v>1</v>
      </c>
      <c r="DQ42">
        <v>1</v>
      </c>
      <c r="DU42">
        <v>16987630</v>
      </c>
      <c r="DV42" t="s">
        <v>36</v>
      </c>
      <c r="DW42" t="s">
        <v>36</v>
      </c>
      <c r="DX42">
        <v>1</v>
      </c>
      <c r="DZ42" t="s">
        <v>3</v>
      </c>
      <c r="EA42" t="s">
        <v>3</v>
      </c>
      <c r="EB42" t="s">
        <v>3</v>
      </c>
      <c r="EC42" t="s">
        <v>3</v>
      </c>
      <c r="EE42">
        <v>1441815344</v>
      </c>
      <c r="EF42">
        <v>1</v>
      </c>
      <c r="EG42" t="s">
        <v>21</v>
      </c>
      <c r="EH42">
        <v>0</v>
      </c>
      <c r="EI42" t="s">
        <v>3</v>
      </c>
      <c r="EJ42">
        <v>4</v>
      </c>
      <c r="EK42">
        <v>0</v>
      </c>
      <c r="EL42" t="s">
        <v>22</v>
      </c>
      <c r="EM42" t="s">
        <v>23</v>
      </c>
      <c r="EO42" t="s">
        <v>3</v>
      </c>
      <c r="EQ42">
        <v>1024</v>
      </c>
      <c r="ER42">
        <v>506.34</v>
      </c>
      <c r="ES42">
        <v>0</v>
      </c>
      <c r="ET42">
        <v>0</v>
      </c>
      <c r="EU42">
        <v>0</v>
      </c>
      <c r="EV42">
        <v>506.34</v>
      </c>
      <c r="EW42">
        <v>0.82</v>
      </c>
      <c r="EX42">
        <v>0</v>
      </c>
      <c r="EY42">
        <v>0</v>
      </c>
      <c r="FQ42">
        <v>0</v>
      </c>
      <c r="FR42">
        <f t="shared" si="52"/>
        <v>0</v>
      </c>
      <c r="FS42">
        <v>0</v>
      </c>
      <c r="FX42">
        <v>70</v>
      </c>
      <c r="FY42">
        <v>10</v>
      </c>
      <c r="GA42" t="s">
        <v>3</v>
      </c>
      <c r="GD42">
        <v>0</v>
      </c>
      <c r="GF42">
        <v>1354931498</v>
      </c>
      <c r="GG42">
        <v>2</v>
      </c>
      <c r="GH42">
        <v>1</v>
      </c>
      <c r="GI42">
        <v>-2</v>
      </c>
      <c r="GJ42">
        <v>0</v>
      </c>
      <c r="GK42">
        <f>ROUND(R42*(R12)/100,2)</f>
        <v>0</v>
      </c>
      <c r="GL42">
        <f t="shared" si="53"/>
        <v>0</v>
      </c>
      <c r="GM42">
        <f t="shared" si="54"/>
        <v>284360.55</v>
      </c>
      <c r="GN42">
        <f t="shared" si="55"/>
        <v>0</v>
      </c>
      <c r="GO42">
        <f t="shared" si="56"/>
        <v>0</v>
      </c>
      <c r="GP42">
        <f t="shared" si="57"/>
        <v>284360.55</v>
      </c>
      <c r="GR42">
        <v>0</v>
      </c>
      <c r="GS42">
        <v>3</v>
      </c>
      <c r="GT42">
        <v>0</v>
      </c>
      <c r="GU42" t="s">
        <v>3</v>
      </c>
      <c r="GV42">
        <f t="shared" si="58"/>
        <v>0</v>
      </c>
      <c r="GW42">
        <v>1</v>
      </c>
      <c r="GX42">
        <f t="shared" si="59"/>
        <v>0</v>
      </c>
      <c r="HA42">
        <v>0</v>
      </c>
      <c r="HB42">
        <v>0</v>
      </c>
      <c r="HC42">
        <f t="shared" si="60"/>
        <v>0</v>
      </c>
      <c r="HE42" t="s">
        <v>3</v>
      </c>
      <c r="HF42" t="s">
        <v>3</v>
      </c>
      <c r="HM42" t="s">
        <v>3</v>
      </c>
      <c r="HN42" t="s">
        <v>3</v>
      </c>
      <c r="HO42" t="s">
        <v>3</v>
      </c>
      <c r="HP42" t="s">
        <v>3</v>
      </c>
      <c r="HQ42" t="s">
        <v>3</v>
      </c>
      <c r="IK42">
        <v>0</v>
      </c>
    </row>
    <row r="43" spans="1:245" x14ac:dyDescent="0.2">
      <c r="A43">
        <v>17</v>
      </c>
      <c r="B43">
        <v>1</v>
      </c>
      <c r="D43">
        <f>ROW(EtalonRes!A27)</f>
        <v>27</v>
      </c>
      <c r="E43" t="s">
        <v>66</v>
      </c>
      <c r="F43" t="s">
        <v>29</v>
      </c>
      <c r="G43" t="s">
        <v>67</v>
      </c>
      <c r="H43" t="s">
        <v>31</v>
      </c>
      <c r="I43">
        <f>ROUND(2*7,9)</f>
        <v>14</v>
      </c>
      <c r="J43">
        <v>0</v>
      </c>
      <c r="K43">
        <f>ROUND(2*7,9)</f>
        <v>14</v>
      </c>
      <c r="O43">
        <f t="shared" si="28"/>
        <v>3890.18</v>
      </c>
      <c r="P43">
        <f t="shared" si="29"/>
        <v>0</v>
      </c>
      <c r="Q43">
        <f t="shared" si="30"/>
        <v>0</v>
      </c>
      <c r="R43">
        <f t="shared" si="31"/>
        <v>0</v>
      </c>
      <c r="S43">
        <f t="shared" si="32"/>
        <v>3890.18</v>
      </c>
      <c r="T43">
        <f t="shared" si="33"/>
        <v>0</v>
      </c>
      <c r="U43">
        <f t="shared" si="34"/>
        <v>6.3</v>
      </c>
      <c r="V43">
        <f t="shared" si="35"/>
        <v>0</v>
      </c>
      <c r="W43">
        <f t="shared" si="36"/>
        <v>0</v>
      </c>
      <c r="X43">
        <f t="shared" si="37"/>
        <v>2723.13</v>
      </c>
      <c r="Y43">
        <f t="shared" si="38"/>
        <v>389.02</v>
      </c>
      <c r="AA43">
        <v>1471718271</v>
      </c>
      <c r="AB43">
        <f t="shared" si="39"/>
        <v>277.87</v>
      </c>
      <c r="AC43">
        <f t="shared" si="61"/>
        <v>0</v>
      </c>
      <c r="AD43">
        <f t="shared" si="62"/>
        <v>0</v>
      </c>
      <c r="AE43">
        <f>ROUND((EU43),6)</f>
        <v>0</v>
      </c>
      <c r="AF43">
        <f>ROUND((EV43),6)</f>
        <v>277.87</v>
      </c>
      <c r="AG43">
        <f t="shared" si="40"/>
        <v>0</v>
      </c>
      <c r="AH43">
        <f>(EW43)</f>
        <v>0.45</v>
      </c>
      <c r="AI43">
        <f>(EX43)</f>
        <v>0</v>
      </c>
      <c r="AJ43">
        <f t="shared" si="41"/>
        <v>0</v>
      </c>
      <c r="AK43">
        <v>277.87</v>
      </c>
      <c r="AL43">
        <v>0</v>
      </c>
      <c r="AM43">
        <v>0</v>
      </c>
      <c r="AN43">
        <v>0</v>
      </c>
      <c r="AO43">
        <v>277.87</v>
      </c>
      <c r="AP43">
        <v>0</v>
      </c>
      <c r="AQ43">
        <v>0.45</v>
      </c>
      <c r="AR43">
        <v>0</v>
      </c>
      <c r="AS43">
        <v>0</v>
      </c>
      <c r="AT43">
        <v>70</v>
      </c>
      <c r="AU43">
        <v>10</v>
      </c>
      <c r="AV43">
        <v>1</v>
      </c>
      <c r="AW43">
        <v>1</v>
      </c>
      <c r="AZ43">
        <v>1</v>
      </c>
      <c r="BA43">
        <v>1</v>
      </c>
      <c r="BB43">
        <v>1</v>
      </c>
      <c r="BC43">
        <v>1</v>
      </c>
      <c r="BD43" t="s">
        <v>3</v>
      </c>
      <c r="BE43" t="s">
        <v>3</v>
      </c>
      <c r="BF43" t="s">
        <v>3</v>
      </c>
      <c r="BG43" t="s">
        <v>3</v>
      </c>
      <c r="BH43">
        <v>0</v>
      </c>
      <c r="BI43">
        <v>4</v>
      </c>
      <c r="BJ43" t="s">
        <v>32</v>
      </c>
      <c r="BM43">
        <v>0</v>
      </c>
      <c r="BN43">
        <v>0</v>
      </c>
      <c r="BO43" t="s">
        <v>3</v>
      </c>
      <c r="BP43">
        <v>0</v>
      </c>
      <c r="BQ43">
        <v>1</v>
      </c>
      <c r="BR43">
        <v>0</v>
      </c>
      <c r="BS43">
        <v>1</v>
      </c>
      <c r="BT43">
        <v>1</v>
      </c>
      <c r="BU43">
        <v>1</v>
      </c>
      <c r="BV43">
        <v>1</v>
      </c>
      <c r="BW43">
        <v>1</v>
      </c>
      <c r="BX43">
        <v>1</v>
      </c>
      <c r="BY43" t="s">
        <v>3</v>
      </c>
      <c r="BZ43">
        <v>70</v>
      </c>
      <c r="CA43">
        <v>10</v>
      </c>
      <c r="CB43" t="s">
        <v>3</v>
      </c>
      <c r="CE43">
        <v>0</v>
      </c>
      <c r="CF43">
        <v>0</v>
      </c>
      <c r="CG43">
        <v>0</v>
      </c>
      <c r="CM43">
        <v>0</v>
      </c>
      <c r="CN43" t="s">
        <v>3</v>
      </c>
      <c r="CO43">
        <v>0</v>
      </c>
      <c r="CP43">
        <f t="shared" si="42"/>
        <v>3890.18</v>
      </c>
      <c r="CQ43">
        <f t="shared" si="43"/>
        <v>0</v>
      </c>
      <c r="CR43">
        <f t="shared" si="65"/>
        <v>0</v>
      </c>
      <c r="CS43">
        <f t="shared" si="44"/>
        <v>0</v>
      </c>
      <c r="CT43">
        <f t="shared" si="45"/>
        <v>277.87</v>
      </c>
      <c r="CU43">
        <f t="shared" si="46"/>
        <v>0</v>
      </c>
      <c r="CV43">
        <f t="shared" si="47"/>
        <v>0.45</v>
      </c>
      <c r="CW43">
        <f t="shared" si="48"/>
        <v>0</v>
      </c>
      <c r="CX43">
        <f t="shared" si="49"/>
        <v>0</v>
      </c>
      <c r="CY43">
        <f t="shared" si="50"/>
        <v>2723.1259999999997</v>
      </c>
      <c r="CZ43">
        <f t="shared" si="51"/>
        <v>389.01799999999997</v>
      </c>
      <c r="DC43" t="s">
        <v>3</v>
      </c>
      <c r="DD43" t="s">
        <v>3</v>
      </c>
      <c r="DE43" t="s">
        <v>3</v>
      </c>
      <c r="DF43" t="s">
        <v>3</v>
      </c>
      <c r="DG43" t="s">
        <v>3</v>
      </c>
      <c r="DH43" t="s">
        <v>3</v>
      </c>
      <c r="DI43" t="s">
        <v>3</v>
      </c>
      <c r="DJ43" t="s">
        <v>3</v>
      </c>
      <c r="DK43" t="s">
        <v>3</v>
      </c>
      <c r="DL43" t="s">
        <v>3</v>
      </c>
      <c r="DM43" t="s">
        <v>3</v>
      </c>
      <c r="DN43">
        <v>0</v>
      </c>
      <c r="DO43">
        <v>0</v>
      </c>
      <c r="DP43">
        <v>1</v>
      </c>
      <c r="DQ43">
        <v>1</v>
      </c>
      <c r="DU43">
        <v>16987630</v>
      </c>
      <c r="DV43" t="s">
        <v>31</v>
      </c>
      <c r="DW43" t="s">
        <v>31</v>
      </c>
      <c r="DX43">
        <v>10</v>
      </c>
      <c r="DZ43" t="s">
        <v>3</v>
      </c>
      <c r="EA43" t="s">
        <v>3</v>
      </c>
      <c r="EB43" t="s">
        <v>3</v>
      </c>
      <c r="EC43" t="s">
        <v>3</v>
      </c>
      <c r="EE43">
        <v>1441815344</v>
      </c>
      <c r="EF43">
        <v>1</v>
      </c>
      <c r="EG43" t="s">
        <v>21</v>
      </c>
      <c r="EH43">
        <v>0</v>
      </c>
      <c r="EI43" t="s">
        <v>3</v>
      </c>
      <c r="EJ43">
        <v>4</v>
      </c>
      <c r="EK43">
        <v>0</v>
      </c>
      <c r="EL43" t="s">
        <v>22</v>
      </c>
      <c r="EM43" t="s">
        <v>23</v>
      </c>
      <c r="EO43" t="s">
        <v>3</v>
      </c>
      <c r="EQ43">
        <v>0</v>
      </c>
      <c r="ER43">
        <v>277.87</v>
      </c>
      <c r="ES43">
        <v>0</v>
      </c>
      <c r="ET43">
        <v>0</v>
      </c>
      <c r="EU43">
        <v>0</v>
      </c>
      <c r="EV43">
        <v>277.87</v>
      </c>
      <c r="EW43">
        <v>0.45</v>
      </c>
      <c r="EX43">
        <v>0</v>
      </c>
      <c r="EY43">
        <v>0</v>
      </c>
      <c r="FQ43">
        <v>0</v>
      </c>
      <c r="FR43">
        <f t="shared" si="52"/>
        <v>0</v>
      </c>
      <c r="FS43">
        <v>0</v>
      </c>
      <c r="FX43">
        <v>70</v>
      </c>
      <c r="FY43">
        <v>10</v>
      </c>
      <c r="GA43" t="s">
        <v>3</v>
      </c>
      <c r="GD43">
        <v>0</v>
      </c>
      <c r="GF43">
        <v>-1072121615</v>
      </c>
      <c r="GG43">
        <v>2</v>
      </c>
      <c r="GH43">
        <v>1</v>
      </c>
      <c r="GI43">
        <v>-2</v>
      </c>
      <c r="GJ43">
        <v>0</v>
      </c>
      <c r="GK43">
        <f>ROUND(R43*(R12)/100,2)</f>
        <v>0</v>
      </c>
      <c r="GL43">
        <f t="shared" si="53"/>
        <v>0</v>
      </c>
      <c r="GM43">
        <f t="shared" si="54"/>
        <v>7002.33</v>
      </c>
      <c r="GN43">
        <f t="shared" si="55"/>
        <v>0</v>
      </c>
      <c r="GO43">
        <f t="shared" si="56"/>
        <v>0</v>
      </c>
      <c r="GP43">
        <f t="shared" si="57"/>
        <v>7002.33</v>
      </c>
      <c r="GR43">
        <v>0</v>
      </c>
      <c r="GS43">
        <v>3</v>
      </c>
      <c r="GT43">
        <v>0</v>
      </c>
      <c r="GU43" t="s">
        <v>3</v>
      </c>
      <c r="GV43">
        <f t="shared" si="58"/>
        <v>0</v>
      </c>
      <c r="GW43">
        <v>1</v>
      </c>
      <c r="GX43">
        <f t="shared" si="59"/>
        <v>0</v>
      </c>
      <c r="HA43">
        <v>0</v>
      </c>
      <c r="HB43">
        <v>0</v>
      </c>
      <c r="HC43">
        <f t="shared" si="60"/>
        <v>0</v>
      </c>
      <c r="HE43" t="s">
        <v>3</v>
      </c>
      <c r="HF43" t="s">
        <v>3</v>
      </c>
      <c r="HM43" t="s">
        <v>3</v>
      </c>
      <c r="HN43" t="s">
        <v>3</v>
      </c>
      <c r="HO43" t="s">
        <v>3</v>
      </c>
      <c r="HP43" t="s">
        <v>3</v>
      </c>
      <c r="HQ43" t="s">
        <v>3</v>
      </c>
      <c r="IK43">
        <v>0</v>
      </c>
    </row>
    <row r="44" spans="1:245" x14ac:dyDescent="0.2">
      <c r="A44">
        <v>17</v>
      </c>
      <c r="B44">
        <v>1</v>
      </c>
      <c r="D44">
        <f>ROW(EtalonRes!A29)</f>
        <v>29</v>
      </c>
      <c r="E44" t="s">
        <v>68</v>
      </c>
      <c r="F44" t="s">
        <v>39</v>
      </c>
      <c r="G44" t="s">
        <v>69</v>
      </c>
      <c r="H44" t="s">
        <v>36</v>
      </c>
      <c r="I44">
        <f>ROUND((8)*7,9)</f>
        <v>56</v>
      </c>
      <c r="J44">
        <v>0</v>
      </c>
      <c r="K44">
        <f>ROUND((8)*7,9)</f>
        <v>56</v>
      </c>
      <c r="O44">
        <f t="shared" si="28"/>
        <v>16026.08</v>
      </c>
      <c r="P44">
        <f t="shared" si="29"/>
        <v>0</v>
      </c>
      <c r="Q44">
        <f t="shared" si="30"/>
        <v>4378.08</v>
      </c>
      <c r="R44">
        <f t="shared" si="31"/>
        <v>2775.92</v>
      </c>
      <c r="S44">
        <f t="shared" si="32"/>
        <v>11648</v>
      </c>
      <c r="T44">
        <f t="shared" si="33"/>
        <v>0</v>
      </c>
      <c r="U44">
        <f t="shared" si="34"/>
        <v>20.72</v>
      </c>
      <c r="V44">
        <f t="shared" si="35"/>
        <v>0</v>
      </c>
      <c r="W44">
        <f t="shared" si="36"/>
        <v>0</v>
      </c>
      <c r="X44">
        <f t="shared" si="37"/>
        <v>8153.6</v>
      </c>
      <c r="Y44">
        <f t="shared" si="38"/>
        <v>1164.8</v>
      </c>
      <c r="AA44">
        <v>1471718271</v>
      </c>
      <c r="AB44">
        <f t="shared" si="39"/>
        <v>286.18</v>
      </c>
      <c r="AC44">
        <f t="shared" si="61"/>
        <v>0</v>
      </c>
      <c r="AD44">
        <f t="shared" si="62"/>
        <v>78.180000000000007</v>
      </c>
      <c r="AE44">
        <f>ROUND((EU44),6)</f>
        <v>49.57</v>
      </c>
      <c r="AF44">
        <f>ROUND((EV44),6)</f>
        <v>208</v>
      </c>
      <c r="AG44">
        <f t="shared" si="40"/>
        <v>0</v>
      </c>
      <c r="AH44">
        <f>(EW44)</f>
        <v>0.37</v>
      </c>
      <c r="AI44">
        <f>(EX44)</f>
        <v>0</v>
      </c>
      <c r="AJ44">
        <f t="shared" si="41"/>
        <v>0</v>
      </c>
      <c r="AK44">
        <v>286.18</v>
      </c>
      <c r="AL44">
        <v>0</v>
      </c>
      <c r="AM44">
        <v>78.180000000000007</v>
      </c>
      <c r="AN44">
        <v>49.57</v>
      </c>
      <c r="AO44">
        <v>208</v>
      </c>
      <c r="AP44">
        <v>0</v>
      </c>
      <c r="AQ44">
        <v>0.37</v>
      </c>
      <c r="AR44">
        <v>0</v>
      </c>
      <c r="AS44">
        <v>0</v>
      </c>
      <c r="AT44">
        <v>70</v>
      </c>
      <c r="AU44">
        <v>10</v>
      </c>
      <c r="AV44">
        <v>1</v>
      </c>
      <c r="AW44">
        <v>1</v>
      </c>
      <c r="AZ44">
        <v>1</v>
      </c>
      <c r="BA44">
        <v>1</v>
      </c>
      <c r="BB44">
        <v>1</v>
      </c>
      <c r="BC44">
        <v>1</v>
      </c>
      <c r="BD44" t="s">
        <v>3</v>
      </c>
      <c r="BE44" t="s">
        <v>3</v>
      </c>
      <c r="BF44" t="s">
        <v>3</v>
      </c>
      <c r="BG44" t="s">
        <v>3</v>
      </c>
      <c r="BH44">
        <v>0</v>
      </c>
      <c r="BI44">
        <v>4</v>
      </c>
      <c r="BJ44" t="s">
        <v>41</v>
      </c>
      <c r="BM44">
        <v>0</v>
      </c>
      <c r="BN44">
        <v>0</v>
      </c>
      <c r="BO44" t="s">
        <v>3</v>
      </c>
      <c r="BP44">
        <v>0</v>
      </c>
      <c r="BQ44">
        <v>1</v>
      </c>
      <c r="BR44">
        <v>0</v>
      </c>
      <c r="BS44">
        <v>1</v>
      </c>
      <c r="BT44">
        <v>1</v>
      </c>
      <c r="BU44">
        <v>1</v>
      </c>
      <c r="BV44">
        <v>1</v>
      </c>
      <c r="BW44">
        <v>1</v>
      </c>
      <c r="BX44">
        <v>1</v>
      </c>
      <c r="BY44" t="s">
        <v>3</v>
      </c>
      <c r="BZ44">
        <v>70</v>
      </c>
      <c r="CA44">
        <v>10</v>
      </c>
      <c r="CB44" t="s">
        <v>3</v>
      </c>
      <c r="CE44">
        <v>0</v>
      </c>
      <c r="CF44">
        <v>0</v>
      </c>
      <c r="CG44">
        <v>0</v>
      </c>
      <c r="CM44">
        <v>0</v>
      </c>
      <c r="CN44" t="s">
        <v>3</v>
      </c>
      <c r="CO44">
        <v>0</v>
      </c>
      <c r="CP44">
        <f t="shared" si="42"/>
        <v>16026.08</v>
      </c>
      <c r="CQ44">
        <f t="shared" si="43"/>
        <v>0</v>
      </c>
      <c r="CR44">
        <f t="shared" si="65"/>
        <v>78.180000000000007</v>
      </c>
      <c r="CS44">
        <f t="shared" si="44"/>
        <v>49.57</v>
      </c>
      <c r="CT44">
        <f t="shared" si="45"/>
        <v>208</v>
      </c>
      <c r="CU44">
        <f t="shared" si="46"/>
        <v>0</v>
      </c>
      <c r="CV44">
        <f t="shared" si="47"/>
        <v>0.37</v>
      </c>
      <c r="CW44">
        <f t="shared" si="48"/>
        <v>0</v>
      </c>
      <c r="CX44">
        <f t="shared" si="49"/>
        <v>0</v>
      </c>
      <c r="CY44">
        <f t="shared" si="50"/>
        <v>8153.6</v>
      </c>
      <c r="CZ44">
        <f t="shared" si="51"/>
        <v>1164.8</v>
      </c>
      <c r="DC44" t="s">
        <v>3</v>
      </c>
      <c r="DD44" t="s">
        <v>3</v>
      </c>
      <c r="DE44" t="s">
        <v>3</v>
      </c>
      <c r="DF44" t="s">
        <v>3</v>
      </c>
      <c r="DG44" t="s">
        <v>3</v>
      </c>
      <c r="DH44" t="s">
        <v>3</v>
      </c>
      <c r="DI44" t="s">
        <v>3</v>
      </c>
      <c r="DJ44" t="s">
        <v>3</v>
      </c>
      <c r="DK44" t="s">
        <v>3</v>
      </c>
      <c r="DL44" t="s">
        <v>3</v>
      </c>
      <c r="DM44" t="s">
        <v>3</v>
      </c>
      <c r="DN44">
        <v>0</v>
      </c>
      <c r="DO44">
        <v>0</v>
      </c>
      <c r="DP44">
        <v>1</v>
      </c>
      <c r="DQ44">
        <v>1</v>
      </c>
      <c r="DU44">
        <v>16987630</v>
      </c>
      <c r="DV44" t="s">
        <v>36</v>
      </c>
      <c r="DW44" t="s">
        <v>36</v>
      </c>
      <c r="DX44">
        <v>1</v>
      </c>
      <c r="DZ44" t="s">
        <v>3</v>
      </c>
      <c r="EA44" t="s">
        <v>3</v>
      </c>
      <c r="EB44" t="s">
        <v>3</v>
      </c>
      <c r="EC44" t="s">
        <v>3</v>
      </c>
      <c r="EE44">
        <v>1441815344</v>
      </c>
      <c r="EF44">
        <v>1</v>
      </c>
      <c r="EG44" t="s">
        <v>21</v>
      </c>
      <c r="EH44">
        <v>0</v>
      </c>
      <c r="EI44" t="s">
        <v>3</v>
      </c>
      <c r="EJ44">
        <v>4</v>
      </c>
      <c r="EK44">
        <v>0</v>
      </c>
      <c r="EL44" t="s">
        <v>22</v>
      </c>
      <c r="EM44" t="s">
        <v>23</v>
      </c>
      <c r="EO44" t="s">
        <v>3</v>
      </c>
      <c r="EQ44">
        <v>0</v>
      </c>
      <c r="ER44">
        <v>286.18</v>
      </c>
      <c r="ES44">
        <v>0</v>
      </c>
      <c r="ET44">
        <v>78.180000000000007</v>
      </c>
      <c r="EU44">
        <v>49.57</v>
      </c>
      <c r="EV44">
        <v>208</v>
      </c>
      <c r="EW44">
        <v>0.37</v>
      </c>
      <c r="EX44">
        <v>0</v>
      </c>
      <c r="EY44">
        <v>0</v>
      </c>
      <c r="FQ44">
        <v>0</v>
      </c>
      <c r="FR44">
        <f t="shared" si="52"/>
        <v>0</v>
      </c>
      <c r="FS44">
        <v>0</v>
      </c>
      <c r="FX44">
        <v>70</v>
      </c>
      <c r="FY44">
        <v>10</v>
      </c>
      <c r="GA44" t="s">
        <v>3</v>
      </c>
      <c r="GD44">
        <v>0</v>
      </c>
      <c r="GF44">
        <v>1694456522</v>
      </c>
      <c r="GG44">
        <v>2</v>
      </c>
      <c r="GH44">
        <v>1</v>
      </c>
      <c r="GI44">
        <v>-2</v>
      </c>
      <c r="GJ44">
        <v>0</v>
      </c>
      <c r="GK44">
        <f>ROUND(R44*(R12)/100,2)</f>
        <v>2997.99</v>
      </c>
      <c r="GL44">
        <f t="shared" si="53"/>
        <v>0</v>
      </c>
      <c r="GM44">
        <f t="shared" si="54"/>
        <v>28342.47</v>
      </c>
      <c r="GN44">
        <f t="shared" si="55"/>
        <v>0</v>
      </c>
      <c r="GO44">
        <f t="shared" si="56"/>
        <v>0</v>
      </c>
      <c r="GP44">
        <f t="shared" si="57"/>
        <v>28342.47</v>
      </c>
      <c r="GR44">
        <v>0</v>
      </c>
      <c r="GS44">
        <v>3</v>
      </c>
      <c r="GT44">
        <v>0</v>
      </c>
      <c r="GU44" t="s">
        <v>3</v>
      </c>
      <c r="GV44">
        <f t="shared" si="58"/>
        <v>0</v>
      </c>
      <c r="GW44">
        <v>1</v>
      </c>
      <c r="GX44">
        <f t="shared" si="59"/>
        <v>0</v>
      </c>
      <c r="HA44">
        <v>0</v>
      </c>
      <c r="HB44">
        <v>0</v>
      </c>
      <c r="HC44">
        <f t="shared" si="60"/>
        <v>0</v>
      </c>
      <c r="HE44" t="s">
        <v>3</v>
      </c>
      <c r="HF44" t="s">
        <v>3</v>
      </c>
      <c r="HM44" t="s">
        <v>3</v>
      </c>
      <c r="HN44" t="s">
        <v>3</v>
      </c>
      <c r="HO44" t="s">
        <v>3</v>
      </c>
      <c r="HP44" t="s">
        <v>3</v>
      </c>
      <c r="HQ44" t="s">
        <v>3</v>
      </c>
      <c r="IK44">
        <v>0</v>
      </c>
    </row>
    <row r="45" spans="1:245" x14ac:dyDescent="0.2">
      <c r="A45">
        <v>17</v>
      </c>
      <c r="B45">
        <v>1</v>
      </c>
      <c r="D45">
        <f>ROW(EtalonRes!A30)</f>
        <v>30</v>
      </c>
      <c r="E45" t="s">
        <v>70</v>
      </c>
      <c r="F45" t="s">
        <v>71</v>
      </c>
      <c r="G45" t="s">
        <v>72</v>
      </c>
      <c r="H45" t="s">
        <v>73</v>
      </c>
      <c r="I45">
        <f>ROUND(13*7/100,9)</f>
        <v>0.91</v>
      </c>
      <c r="J45">
        <v>0</v>
      </c>
      <c r="K45">
        <f>ROUND(13*7/100,9)</f>
        <v>0.91</v>
      </c>
      <c r="O45">
        <f t="shared" si="28"/>
        <v>14465.46</v>
      </c>
      <c r="P45">
        <f t="shared" si="29"/>
        <v>0</v>
      </c>
      <c r="Q45">
        <f t="shared" si="30"/>
        <v>0</v>
      </c>
      <c r="R45">
        <f t="shared" si="31"/>
        <v>0</v>
      </c>
      <c r="S45">
        <f t="shared" si="32"/>
        <v>14465.46</v>
      </c>
      <c r="T45">
        <f t="shared" si="33"/>
        <v>0</v>
      </c>
      <c r="U45">
        <f t="shared" si="34"/>
        <v>24.297000000000001</v>
      </c>
      <c r="V45">
        <f t="shared" si="35"/>
        <v>0</v>
      </c>
      <c r="W45">
        <f t="shared" si="36"/>
        <v>0</v>
      </c>
      <c r="X45">
        <f t="shared" si="37"/>
        <v>10125.82</v>
      </c>
      <c r="Y45">
        <f t="shared" si="38"/>
        <v>1446.55</v>
      </c>
      <c r="AA45">
        <v>1471718271</v>
      </c>
      <c r="AB45">
        <f t="shared" si="39"/>
        <v>15896.11</v>
      </c>
      <c r="AC45">
        <f t="shared" si="61"/>
        <v>0</v>
      </c>
      <c r="AD45">
        <f t="shared" si="62"/>
        <v>0</v>
      </c>
      <c r="AE45">
        <f>ROUND((EU45),6)</f>
        <v>0</v>
      </c>
      <c r="AF45">
        <f>ROUND((EV45),6)</f>
        <v>15896.11</v>
      </c>
      <c r="AG45">
        <f t="shared" si="40"/>
        <v>0</v>
      </c>
      <c r="AH45">
        <f>(EW45)</f>
        <v>26.7</v>
      </c>
      <c r="AI45">
        <f>(EX45)</f>
        <v>0</v>
      </c>
      <c r="AJ45">
        <f t="shared" si="41"/>
        <v>0</v>
      </c>
      <c r="AK45">
        <v>15896.11</v>
      </c>
      <c r="AL45">
        <v>0</v>
      </c>
      <c r="AM45">
        <v>0</v>
      </c>
      <c r="AN45">
        <v>0</v>
      </c>
      <c r="AO45">
        <v>15896.11</v>
      </c>
      <c r="AP45">
        <v>0</v>
      </c>
      <c r="AQ45">
        <v>26.7</v>
      </c>
      <c r="AR45">
        <v>0</v>
      </c>
      <c r="AS45">
        <v>0</v>
      </c>
      <c r="AT45">
        <v>70</v>
      </c>
      <c r="AU45">
        <v>10</v>
      </c>
      <c r="AV45">
        <v>1</v>
      </c>
      <c r="AW45">
        <v>1</v>
      </c>
      <c r="AZ45">
        <v>1</v>
      </c>
      <c r="BA45">
        <v>1</v>
      </c>
      <c r="BB45">
        <v>1</v>
      </c>
      <c r="BC45">
        <v>1</v>
      </c>
      <c r="BD45" t="s">
        <v>3</v>
      </c>
      <c r="BE45" t="s">
        <v>3</v>
      </c>
      <c r="BF45" t="s">
        <v>3</v>
      </c>
      <c r="BG45" t="s">
        <v>3</v>
      </c>
      <c r="BH45">
        <v>0</v>
      </c>
      <c r="BI45">
        <v>4</v>
      </c>
      <c r="BJ45" t="s">
        <v>74</v>
      </c>
      <c r="BM45">
        <v>0</v>
      </c>
      <c r="BN45">
        <v>0</v>
      </c>
      <c r="BO45" t="s">
        <v>3</v>
      </c>
      <c r="BP45">
        <v>0</v>
      </c>
      <c r="BQ45">
        <v>1</v>
      </c>
      <c r="BR45">
        <v>0</v>
      </c>
      <c r="BS45">
        <v>1</v>
      </c>
      <c r="BT45">
        <v>1</v>
      </c>
      <c r="BU45">
        <v>1</v>
      </c>
      <c r="BV45">
        <v>1</v>
      </c>
      <c r="BW45">
        <v>1</v>
      </c>
      <c r="BX45">
        <v>1</v>
      </c>
      <c r="BY45" t="s">
        <v>3</v>
      </c>
      <c r="BZ45">
        <v>70</v>
      </c>
      <c r="CA45">
        <v>10</v>
      </c>
      <c r="CB45" t="s">
        <v>3</v>
      </c>
      <c r="CE45">
        <v>0</v>
      </c>
      <c r="CF45">
        <v>0</v>
      </c>
      <c r="CG45">
        <v>0</v>
      </c>
      <c r="CM45">
        <v>0</v>
      </c>
      <c r="CN45" t="s">
        <v>3</v>
      </c>
      <c r="CO45">
        <v>0</v>
      </c>
      <c r="CP45">
        <f t="shared" si="42"/>
        <v>14465.46</v>
      </c>
      <c r="CQ45">
        <f t="shared" si="43"/>
        <v>0</v>
      </c>
      <c r="CR45">
        <f t="shared" si="65"/>
        <v>0</v>
      </c>
      <c r="CS45">
        <f t="shared" si="44"/>
        <v>0</v>
      </c>
      <c r="CT45">
        <f t="shared" si="45"/>
        <v>15896.11</v>
      </c>
      <c r="CU45">
        <f t="shared" si="46"/>
        <v>0</v>
      </c>
      <c r="CV45">
        <f t="shared" si="47"/>
        <v>26.7</v>
      </c>
      <c r="CW45">
        <f t="shared" si="48"/>
        <v>0</v>
      </c>
      <c r="CX45">
        <f t="shared" si="49"/>
        <v>0</v>
      </c>
      <c r="CY45">
        <f t="shared" si="50"/>
        <v>10125.822</v>
      </c>
      <c r="CZ45">
        <f t="shared" si="51"/>
        <v>1446.5459999999998</v>
      </c>
      <c r="DC45" t="s">
        <v>3</v>
      </c>
      <c r="DD45" t="s">
        <v>3</v>
      </c>
      <c r="DE45" t="s">
        <v>3</v>
      </c>
      <c r="DF45" t="s">
        <v>3</v>
      </c>
      <c r="DG45" t="s">
        <v>3</v>
      </c>
      <c r="DH45" t="s">
        <v>3</v>
      </c>
      <c r="DI45" t="s">
        <v>3</v>
      </c>
      <c r="DJ45" t="s">
        <v>3</v>
      </c>
      <c r="DK45" t="s">
        <v>3</v>
      </c>
      <c r="DL45" t="s">
        <v>3</v>
      </c>
      <c r="DM45" t="s">
        <v>3</v>
      </c>
      <c r="DN45">
        <v>0</v>
      </c>
      <c r="DO45">
        <v>0</v>
      </c>
      <c r="DP45">
        <v>1</v>
      </c>
      <c r="DQ45">
        <v>1</v>
      </c>
      <c r="DU45">
        <v>1013</v>
      </c>
      <c r="DV45" t="s">
        <v>73</v>
      </c>
      <c r="DW45" t="s">
        <v>73</v>
      </c>
      <c r="DX45">
        <v>1</v>
      </c>
      <c r="DZ45" t="s">
        <v>3</v>
      </c>
      <c r="EA45" t="s">
        <v>3</v>
      </c>
      <c r="EB45" t="s">
        <v>3</v>
      </c>
      <c r="EC45" t="s">
        <v>3</v>
      </c>
      <c r="EE45">
        <v>1441815344</v>
      </c>
      <c r="EF45">
        <v>1</v>
      </c>
      <c r="EG45" t="s">
        <v>21</v>
      </c>
      <c r="EH45">
        <v>0</v>
      </c>
      <c r="EI45" t="s">
        <v>3</v>
      </c>
      <c r="EJ45">
        <v>4</v>
      </c>
      <c r="EK45">
        <v>0</v>
      </c>
      <c r="EL45" t="s">
        <v>22</v>
      </c>
      <c r="EM45" t="s">
        <v>23</v>
      </c>
      <c r="EO45" t="s">
        <v>3</v>
      </c>
      <c r="EQ45">
        <v>0</v>
      </c>
      <c r="ER45">
        <v>15896.11</v>
      </c>
      <c r="ES45">
        <v>0</v>
      </c>
      <c r="ET45">
        <v>0</v>
      </c>
      <c r="EU45">
        <v>0</v>
      </c>
      <c r="EV45">
        <v>15896.11</v>
      </c>
      <c r="EW45">
        <v>26.7</v>
      </c>
      <c r="EX45">
        <v>0</v>
      </c>
      <c r="EY45">
        <v>0</v>
      </c>
      <c r="FQ45">
        <v>0</v>
      </c>
      <c r="FR45">
        <f t="shared" si="52"/>
        <v>0</v>
      </c>
      <c r="FS45">
        <v>0</v>
      </c>
      <c r="FX45">
        <v>70</v>
      </c>
      <c r="FY45">
        <v>10</v>
      </c>
      <c r="GA45" t="s">
        <v>3</v>
      </c>
      <c r="GD45">
        <v>0</v>
      </c>
      <c r="GF45">
        <v>-1089660975</v>
      </c>
      <c r="GG45">
        <v>2</v>
      </c>
      <c r="GH45">
        <v>1</v>
      </c>
      <c r="GI45">
        <v>-2</v>
      </c>
      <c r="GJ45">
        <v>0</v>
      </c>
      <c r="GK45">
        <f>ROUND(R45*(R12)/100,2)</f>
        <v>0</v>
      </c>
      <c r="GL45">
        <f t="shared" si="53"/>
        <v>0</v>
      </c>
      <c r="GM45">
        <f t="shared" si="54"/>
        <v>26037.83</v>
      </c>
      <c r="GN45">
        <f t="shared" si="55"/>
        <v>0</v>
      </c>
      <c r="GO45">
        <f t="shared" si="56"/>
        <v>0</v>
      </c>
      <c r="GP45">
        <f t="shared" si="57"/>
        <v>26037.83</v>
      </c>
      <c r="GR45">
        <v>0</v>
      </c>
      <c r="GS45">
        <v>3</v>
      </c>
      <c r="GT45">
        <v>0</v>
      </c>
      <c r="GU45" t="s">
        <v>3</v>
      </c>
      <c r="GV45">
        <f t="shared" si="58"/>
        <v>0</v>
      </c>
      <c r="GW45">
        <v>1</v>
      </c>
      <c r="GX45">
        <f t="shared" si="59"/>
        <v>0</v>
      </c>
      <c r="HA45">
        <v>0</v>
      </c>
      <c r="HB45">
        <v>0</v>
      </c>
      <c r="HC45">
        <f t="shared" si="60"/>
        <v>0</v>
      </c>
      <c r="HE45" t="s">
        <v>3</v>
      </c>
      <c r="HF45" t="s">
        <v>3</v>
      </c>
      <c r="HM45" t="s">
        <v>3</v>
      </c>
      <c r="HN45" t="s">
        <v>3</v>
      </c>
      <c r="HO45" t="s">
        <v>3</v>
      </c>
      <c r="HP45" t="s">
        <v>3</v>
      </c>
      <c r="HQ45" t="s">
        <v>3</v>
      </c>
      <c r="IK45">
        <v>0</v>
      </c>
    </row>
    <row r="46" spans="1:245" x14ac:dyDescent="0.2">
      <c r="A46">
        <v>17</v>
      </c>
      <c r="B46">
        <v>1</v>
      </c>
      <c r="D46">
        <f>ROW(EtalonRes!A32)</f>
        <v>32</v>
      </c>
      <c r="E46" t="s">
        <v>75</v>
      </c>
      <c r="F46" t="s">
        <v>76</v>
      </c>
      <c r="G46" t="s">
        <v>77</v>
      </c>
      <c r="H46" t="s">
        <v>53</v>
      </c>
      <c r="I46">
        <f>ROUND((8+2)*7/100,9)</f>
        <v>0.7</v>
      </c>
      <c r="J46">
        <v>0</v>
      </c>
      <c r="K46">
        <f>ROUND((8+2)*7/100,9)</f>
        <v>0.7</v>
      </c>
      <c r="O46">
        <f t="shared" si="28"/>
        <v>40447.43</v>
      </c>
      <c r="P46">
        <f t="shared" si="29"/>
        <v>682</v>
      </c>
      <c r="Q46">
        <f t="shared" si="30"/>
        <v>0</v>
      </c>
      <c r="R46">
        <f t="shared" si="31"/>
        <v>0</v>
      </c>
      <c r="S46">
        <f t="shared" si="32"/>
        <v>39765.43</v>
      </c>
      <c r="T46">
        <f t="shared" si="33"/>
        <v>0</v>
      </c>
      <c r="U46">
        <f t="shared" si="34"/>
        <v>78.455999999999989</v>
      </c>
      <c r="V46">
        <f t="shared" si="35"/>
        <v>0</v>
      </c>
      <c r="W46">
        <f t="shared" si="36"/>
        <v>0</v>
      </c>
      <c r="X46">
        <f t="shared" si="37"/>
        <v>27835.8</v>
      </c>
      <c r="Y46">
        <f t="shared" si="38"/>
        <v>3976.54</v>
      </c>
      <c r="AA46">
        <v>1471718271</v>
      </c>
      <c r="AB46">
        <f t="shared" si="39"/>
        <v>57782.04</v>
      </c>
      <c r="AC46">
        <f>ROUND(((ES46*4)),6)</f>
        <v>974.28</v>
      </c>
      <c r="AD46">
        <f>ROUND(((((ET46*4))-((EU46*4)))+AE46),6)</f>
        <v>0</v>
      </c>
      <c r="AE46">
        <f>ROUND(((EU46*4)),6)</f>
        <v>0</v>
      </c>
      <c r="AF46">
        <f>ROUND(((EV46*4)),6)</f>
        <v>56807.76</v>
      </c>
      <c r="AG46">
        <f t="shared" si="40"/>
        <v>0</v>
      </c>
      <c r="AH46">
        <f>((EW46*4))</f>
        <v>112.08</v>
      </c>
      <c r="AI46">
        <f>((EX46*4))</f>
        <v>0</v>
      </c>
      <c r="AJ46">
        <f t="shared" si="41"/>
        <v>0</v>
      </c>
      <c r="AK46">
        <v>14445.51</v>
      </c>
      <c r="AL46">
        <v>243.57</v>
      </c>
      <c r="AM46">
        <v>0</v>
      </c>
      <c r="AN46">
        <v>0</v>
      </c>
      <c r="AO46">
        <v>14201.94</v>
      </c>
      <c r="AP46">
        <v>0</v>
      </c>
      <c r="AQ46">
        <v>28.02</v>
      </c>
      <c r="AR46">
        <v>0</v>
      </c>
      <c r="AS46">
        <v>0</v>
      </c>
      <c r="AT46">
        <v>70</v>
      </c>
      <c r="AU46">
        <v>10</v>
      </c>
      <c r="AV46">
        <v>1</v>
      </c>
      <c r="AW46">
        <v>1</v>
      </c>
      <c r="AZ46">
        <v>1</v>
      </c>
      <c r="BA46">
        <v>1</v>
      </c>
      <c r="BB46">
        <v>1</v>
      </c>
      <c r="BC46">
        <v>1</v>
      </c>
      <c r="BD46" t="s">
        <v>3</v>
      </c>
      <c r="BE46" t="s">
        <v>3</v>
      </c>
      <c r="BF46" t="s">
        <v>3</v>
      </c>
      <c r="BG46" t="s">
        <v>3</v>
      </c>
      <c r="BH46">
        <v>0</v>
      </c>
      <c r="BI46">
        <v>4</v>
      </c>
      <c r="BJ46" t="s">
        <v>78</v>
      </c>
      <c r="BM46">
        <v>0</v>
      </c>
      <c r="BN46">
        <v>0</v>
      </c>
      <c r="BO46" t="s">
        <v>3</v>
      </c>
      <c r="BP46">
        <v>0</v>
      </c>
      <c r="BQ46">
        <v>1</v>
      </c>
      <c r="BR46">
        <v>0</v>
      </c>
      <c r="BS46">
        <v>1</v>
      </c>
      <c r="BT46">
        <v>1</v>
      </c>
      <c r="BU46">
        <v>1</v>
      </c>
      <c r="BV46">
        <v>1</v>
      </c>
      <c r="BW46">
        <v>1</v>
      </c>
      <c r="BX46">
        <v>1</v>
      </c>
      <c r="BY46" t="s">
        <v>3</v>
      </c>
      <c r="BZ46">
        <v>70</v>
      </c>
      <c r="CA46">
        <v>10</v>
      </c>
      <c r="CB46" t="s">
        <v>3</v>
      </c>
      <c r="CE46">
        <v>0</v>
      </c>
      <c r="CF46">
        <v>0</v>
      </c>
      <c r="CG46">
        <v>0</v>
      </c>
      <c r="CM46">
        <v>0</v>
      </c>
      <c r="CN46" t="s">
        <v>3</v>
      </c>
      <c r="CO46">
        <v>0</v>
      </c>
      <c r="CP46">
        <f t="shared" si="42"/>
        <v>40447.43</v>
      </c>
      <c r="CQ46">
        <f t="shared" si="43"/>
        <v>974.28</v>
      </c>
      <c r="CR46">
        <f>(((((ET46*4))*BB46-((EU46*4))*BS46)+AE46*BS46)*AV46)</f>
        <v>0</v>
      </c>
      <c r="CS46">
        <f t="shared" si="44"/>
        <v>0</v>
      </c>
      <c r="CT46">
        <f t="shared" si="45"/>
        <v>56807.76</v>
      </c>
      <c r="CU46">
        <f t="shared" si="46"/>
        <v>0</v>
      </c>
      <c r="CV46">
        <f t="shared" si="47"/>
        <v>112.08</v>
      </c>
      <c r="CW46">
        <f t="shared" si="48"/>
        <v>0</v>
      </c>
      <c r="CX46">
        <f t="shared" si="49"/>
        <v>0</v>
      </c>
      <c r="CY46">
        <f t="shared" si="50"/>
        <v>27835.800999999999</v>
      </c>
      <c r="CZ46">
        <f t="shared" si="51"/>
        <v>3976.5429999999997</v>
      </c>
      <c r="DC46" t="s">
        <v>3</v>
      </c>
      <c r="DD46" t="s">
        <v>20</v>
      </c>
      <c r="DE46" t="s">
        <v>20</v>
      </c>
      <c r="DF46" t="s">
        <v>20</v>
      </c>
      <c r="DG46" t="s">
        <v>20</v>
      </c>
      <c r="DH46" t="s">
        <v>3</v>
      </c>
      <c r="DI46" t="s">
        <v>20</v>
      </c>
      <c r="DJ46" t="s">
        <v>20</v>
      </c>
      <c r="DK46" t="s">
        <v>3</v>
      </c>
      <c r="DL46" t="s">
        <v>3</v>
      </c>
      <c r="DM46" t="s">
        <v>3</v>
      </c>
      <c r="DN46">
        <v>0</v>
      </c>
      <c r="DO46">
        <v>0</v>
      </c>
      <c r="DP46">
        <v>1</v>
      </c>
      <c r="DQ46">
        <v>1</v>
      </c>
      <c r="DU46">
        <v>16987630</v>
      </c>
      <c r="DV46" t="s">
        <v>53</v>
      </c>
      <c r="DW46" t="s">
        <v>53</v>
      </c>
      <c r="DX46">
        <v>100</v>
      </c>
      <c r="DZ46" t="s">
        <v>3</v>
      </c>
      <c r="EA46" t="s">
        <v>3</v>
      </c>
      <c r="EB46" t="s">
        <v>3</v>
      </c>
      <c r="EC46" t="s">
        <v>3</v>
      </c>
      <c r="EE46">
        <v>1441815344</v>
      </c>
      <c r="EF46">
        <v>1</v>
      </c>
      <c r="EG46" t="s">
        <v>21</v>
      </c>
      <c r="EH46">
        <v>0</v>
      </c>
      <c r="EI46" t="s">
        <v>3</v>
      </c>
      <c r="EJ46">
        <v>4</v>
      </c>
      <c r="EK46">
        <v>0</v>
      </c>
      <c r="EL46" t="s">
        <v>22</v>
      </c>
      <c r="EM46" t="s">
        <v>23</v>
      </c>
      <c r="EO46" t="s">
        <v>3</v>
      </c>
      <c r="EQ46">
        <v>0</v>
      </c>
      <c r="ER46">
        <v>14445.51</v>
      </c>
      <c r="ES46">
        <v>243.57</v>
      </c>
      <c r="ET46">
        <v>0</v>
      </c>
      <c r="EU46">
        <v>0</v>
      </c>
      <c r="EV46">
        <v>14201.94</v>
      </c>
      <c r="EW46">
        <v>28.02</v>
      </c>
      <c r="EX46">
        <v>0</v>
      </c>
      <c r="EY46">
        <v>0</v>
      </c>
      <c r="FQ46">
        <v>0</v>
      </c>
      <c r="FR46">
        <f t="shared" si="52"/>
        <v>0</v>
      </c>
      <c r="FS46">
        <v>0</v>
      </c>
      <c r="FX46">
        <v>70</v>
      </c>
      <c r="FY46">
        <v>10</v>
      </c>
      <c r="GA46" t="s">
        <v>3</v>
      </c>
      <c r="GD46">
        <v>0</v>
      </c>
      <c r="GF46">
        <v>1586733399</v>
      </c>
      <c r="GG46">
        <v>2</v>
      </c>
      <c r="GH46">
        <v>1</v>
      </c>
      <c r="GI46">
        <v>-2</v>
      </c>
      <c r="GJ46">
        <v>0</v>
      </c>
      <c r="GK46">
        <f>ROUND(R46*(R12)/100,2)</f>
        <v>0</v>
      </c>
      <c r="GL46">
        <f t="shared" si="53"/>
        <v>0</v>
      </c>
      <c r="GM46">
        <f t="shared" si="54"/>
        <v>72259.77</v>
      </c>
      <c r="GN46">
        <f t="shared" si="55"/>
        <v>0</v>
      </c>
      <c r="GO46">
        <f t="shared" si="56"/>
        <v>0</v>
      </c>
      <c r="GP46">
        <f t="shared" si="57"/>
        <v>72259.77</v>
      </c>
      <c r="GR46">
        <v>0</v>
      </c>
      <c r="GS46">
        <v>3</v>
      </c>
      <c r="GT46">
        <v>0</v>
      </c>
      <c r="GU46" t="s">
        <v>3</v>
      </c>
      <c r="GV46">
        <f t="shared" si="58"/>
        <v>0</v>
      </c>
      <c r="GW46">
        <v>1</v>
      </c>
      <c r="GX46">
        <f t="shared" si="59"/>
        <v>0</v>
      </c>
      <c r="HA46">
        <v>0</v>
      </c>
      <c r="HB46">
        <v>0</v>
      </c>
      <c r="HC46">
        <f t="shared" si="60"/>
        <v>0</v>
      </c>
      <c r="HE46" t="s">
        <v>3</v>
      </c>
      <c r="HF46" t="s">
        <v>3</v>
      </c>
      <c r="HM46" t="s">
        <v>3</v>
      </c>
      <c r="HN46" t="s">
        <v>3</v>
      </c>
      <c r="HO46" t="s">
        <v>3</v>
      </c>
      <c r="HP46" t="s">
        <v>3</v>
      </c>
      <c r="HQ46" t="s">
        <v>3</v>
      </c>
      <c r="IK46">
        <v>0</v>
      </c>
    </row>
    <row r="47" spans="1:245" x14ac:dyDescent="0.2">
      <c r="A47">
        <v>17</v>
      </c>
      <c r="B47">
        <v>1</v>
      </c>
      <c r="D47">
        <f>ROW(EtalonRes!A33)</f>
        <v>33</v>
      </c>
      <c r="E47" t="s">
        <v>3</v>
      </c>
      <c r="F47" t="s">
        <v>79</v>
      </c>
      <c r="G47" t="s">
        <v>80</v>
      </c>
      <c r="H47" t="s">
        <v>36</v>
      </c>
      <c r="I47">
        <f>ROUND(1*7,9)</f>
        <v>7</v>
      </c>
      <c r="J47">
        <v>0</v>
      </c>
      <c r="K47">
        <f>ROUND(1*7,9)</f>
        <v>7</v>
      </c>
      <c r="O47">
        <f t="shared" si="28"/>
        <v>2247.56</v>
      </c>
      <c r="P47">
        <f t="shared" si="29"/>
        <v>0</v>
      </c>
      <c r="Q47">
        <f t="shared" si="30"/>
        <v>0</v>
      </c>
      <c r="R47">
        <f t="shared" si="31"/>
        <v>0</v>
      </c>
      <c r="S47">
        <f t="shared" si="32"/>
        <v>2247.56</v>
      </c>
      <c r="T47">
        <f t="shared" si="33"/>
        <v>0</v>
      </c>
      <c r="U47">
        <f t="shared" si="34"/>
        <v>3.64</v>
      </c>
      <c r="V47">
        <f t="shared" si="35"/>
        <v>0</v>
      </c>
      <c r="W47">
        <f t="shared" si="36"/>
        <v>0</v>
      </c>
      <c r="X47">
        <f t="shared" si="37"/>
        <v>1573.29</v>
      </c>
      <c r="Y47">
        <f t="shared" si="38"/>
        <v>224.76</v>
      </c>
      <c r="AA47">
        <v>-1</v>
      </c>
      <c r="AB47">
        <f t="shared" si="39"/>
        <v>321.08</v>
      </c>
      <c r="AC47">
        <f>ROUND(((ES47*4)),6)</f>
        <v>0</v>
      </c>
      <c r="AD47">
        <f>ROUND(((((ET47*4))-((EU47*4)))+AE47),6)</f>
        <v>0</v>
      </c>
      <c r="AE47">
        <f>ROUND(((EU47*4)),6)</f>
        <v>0</v>
      </c>
      <c r="AF47">
        <f>ROUND(((EV47*4)),6)</f>
        <v>321.08</v>
      </c>
      <c r="AG47">
        <f t="shared" si="40"/>
        <v>0</v>
      </c>
      <c r="AH47">
        <f>((EW47*4))</f>
        <v>0.52</v>
      </c>
      <c r="AI47">
        <f>((EX47*4))</f>
        <v>0</v>
      </c>
      <c r="AJ47">
        <f t="shared" si="41"/>
        <v>0</v>
      </c>
      <c r="AK47">
        <v>80.27</v>
      </c>
      <c r="AL47">
        <v>0</v>
      </c>
      <c r="AM47">
        <v>0</v>
      </c>
      <c r="AN47">
        <v>0</v>
      </c>
      <c r="AO47">
        <v>80.27</v>
      </c>
      <c r="AP47">
        <v>0</v>
      </c>
      <c r="AQ47">
        <v>0.13</v>
      </c>
      <c r="AR47">
        <v>0</v>
      </c>
      <c r="AS47">
        <v>0</v>
      </c>
      <c r="AT47">
        <v>70</v>
      </c>
      <c r="AU47">
        <v>10</v>
      </c>
      <c r="AV47">
        <v>1</v>
      </c>
      <c r="AW47">
        <v>1</v>
      </c>
      <c r="AZ47">
        <v>1</v>
      </c>
      <c r="BA47">
        <v>1</v>
      </c>
      <c r="BB47">
        <v>1</v>
      </c>
      <c r="BC47">
        <v>1</v>
      </c>
      <c r="BD47" t="s">
        <v>3</v>
      </c>
      <c r="BE47" t="s">
        <v>3</v>
      </c>
      <c r="BF47" t="s">
        <v>3</v>
      </c>
      <c r="BG47" t="s">
        <v>3</v>
      </c>
      <c r="BH47">
        <v>0</v>
      </c>
      <c r="BI47">
        <v>4</v>
      </c>
      <c r="BJ47" t="s">
        <v>81</v>
      </c>
      <c r="BM47">
        <v>0</v>
      </c>
      <c r="BN47">
        <v>0</v>
      </c>
      <c r="BO47" t="s">
        <v>3</v>
      </c>
      <c r="BP47">
        <v>0</v>
      </c>
      <c r="BQ47">
        <v>1</v>
      </c>
      <c r="BR47">
        <v>0</v>
      </c>
      <c r="BS47">
        <v>1</v>
      </c>
      <c r="BT47">
        <v>1</v>
      </c>
      <c r="BU47">
        <v>1</v>
      </c>
      <c r="BV47">
        <v>1</v>
      </c>
      <c r="BW47">
        <v>1</v>
      </c>
      <c r="BX47">
        <v>1</v>
      </c>
      <c r="BY47" t="s">
        <v>3</v>
      </c>
      <c r="BZ47">
        <v>70</v>
      </c>
      <c r="CA47">
        <v>10</v>
      </c>
      <c r="CB47" t="s">
        <v>3</v>
      </c>
      <c r="CE47">
        <v>0</v>
      </c>
      <c r="CF47">
        <v>0</v>
      </c>
      <c r="CG47">
        <v>0</v>
      </c>
      <c r="CM47">
        <v>0</v>
      </c>
      <c r="CN47" t="s">
        <v>3</v>
      </c>
      <c r="CO47">
        <v>0</v>
      </c>
      <c r="CP47">
        <f t="shared" si="42"/>
        <v>2247.56</v>
      </c>
      <c r="CQ47">
        <f t="shared" si="43"/>
        <v>0</v>
      </c>
      <c r="CR47">
        <f>(((((ET47*4))*BB47-((EU47*4))*BS47)+AE47*BS47)*AV47)</f>
        <v>0</v>
      </c>
      <c r="CS47">
        <f t="shared" si="44"/>
        <v>0</v>
      </c>
      <c r="CT47">
        <f t="shared" si="45"/>
        <v>321.08</v>
      </c>
      <c r="CU47">
        <f t="shared" si="46"/>
        <v>0</v>
      </c>
      <c r="CV47">
        <f t="shared" si="47"/>
        <v>0.52</v>
      </c>
      <c r="CW47">
        <f t="shared" si="48"/>
        <v>0</v>
      </c>
      <c r="CX47">
        <f t="shared" si="49"/>
        <v>0</v>
      </c>
      <c r="CY47">
        <f t="shared" si="50"/>
        <v>1573.2919999999999</v>
      </c>
      <c r="CZ47">
        <f t="shared" si="51"/>
        <v>224.75599999999997</v>
      </c>
      <c r="DC47" t="s">
        <v>3</v>
      </c>
      <c r="DD47" t="s">
        <v>20</v>
      </c>
      <c r="DE47" t="s">
        <v>20</v>
      </c>
      <c r="DF47" t="s">
        <v>20</v>
      </c>
      <c r="DG47" t="s">
        <v>20</v>
      </c>
      <c r="DH47" t="s">
        <v>3</v>
      </c>
      <c r="DI47" t="s">
        <v>20</v>
      </c>
      <c r="DJ47" t="s">
        <v>20</v>
      </c>
      <c r="DK47" t="s">
        <v>3</v>
      </c>
      <c r="DL47" t="s">
        <v>3</v>
      </c>
      <c r="DM47" t="s">
        <v>3</v>
      </c>
      <c r="DN47">
        <v>0</v>
      </c>
      <c r="DO47">
        <v>0</v>
      </c>
      <c r="DP47">
        <v>1</v>
      </c>
      <c r="DQ47">
        <v>1</v>
      </c>
      <c r="DU47">
        <v>16987630</v>
      </c>
      <c r="DV47" t="s">
        <v>36</v>
      </c>
      <c r="DW47" t="s">
        <v>36</v>
      </c>
      <c r="DX47">
        <v>1</v>
      </c>
      <c r="DZ47" t="s">
        <v>3</v>
      </c>
      <c r="EA47" t="s">
        <v>3</v>
      </c>
      <c r="EB47" t="s">
        <v>3</v>
      </c>
      <c r="EC47" t="s">
        <v>3</v>
      </c>
      <c r="EE47">
        <v>1441815344</v>
      </c>
      <c r="EF47">
        <v>1</v>
      </c>
      <c r="EG47" t="s">
        <v>21</v>
      </c>
      <c r="EH47">
        <v>0</v>
      </c>
      <c r="EI47" t="s">
        <v>3</v>
      </c>
      <c r="EJ47">
        <v>4</v>
      </c>
      <c r="EK47">
        <v>0</v>
      </c>
      <c r="EL47" t="s">
        <v>22</v>
      </c>
      <c r="EM47" t="s">
        <v>23</v>
      </c>
      <c r="EO47" t="s">
        <v>3</v>
      </c>
      <c r="EQ47">
        <v>1024</v>
      </c>
      <c r="ER47">
        <v>80.27</v>
      </c>
      <c r="ES47">
        <v>0</v>
      </c>
      <c r="ET47">
        <v>0</v>
      </c>
      <c r="EU47">
        <v>0</v>
      </c>
      <c r="EV47">
        <v>80.27</v>
      </c>
      <c r="EW47">
        <v>0.13</v>
      </c>
      <c r="EX47">
        <v>0</v>
      </c>
      <c r="EY47">
        <v>0</v>
      </c>
      <c r="FQ47">
        <v>0</v>
      </c>
      <c r="FR47">
        <f t="shared" si="52"/>
        <v>0</v>
      </c>
      <c r="FS47">
        <v>0</v>
      </c>
      <c r="FX47">
        <v>70</v>
      </c>
      <c r="FY47">
        <v>10</v>
      </c>
      <c r="GA47" t="s">
        <v>3</v>
      </c>
      <c r="GD47">
        <v>0</v>
      </c>
      <c r="GF47">
        <v>1384570016</v>
      </c>
      <c r="GG47">
        <v>2</v>
      </c>
      <c r="GH47">
        <v>1</v>
      </c>
      <c r="GI47">
        <v>-2</v>
      </c>
      <c r="GJ47">
        <v>0</v>
      </c>
      <c r="GK47">
        <f>ROUND(R47*(R12)/100,2)</f>
        <v>0</v>
      </c>
      <c r="GL47">
        <f t="shared" si="53"/>
        <v>0</v>
      </c>
      <c r="GM47">
        <f t="shared" si="54"/>
        <v>4045.61</v>
      </c>
      <c r="GN47">
        <f t="shared" si="55"/>
        <v>0</v>
      </c>
      <c r="GO47">
        <f t="shared" si="56"/>
        <v>0</v>
      </c>
      <c r="GP47">
        <f t="shared" si="57"/>
        <v>4045.61</v>
      </c>
      <c r="GR47">
        <v>0</v>
      </c>
      <c r="GS47">
        <v>3</v>
      </c>
      <c r="GT47">
        <v>0</v>
      </c>
      <c r="GU47" t="s">
        <v>3</v>
      </c>
      <c r="GV47">
        <f t="shared" si="58"/>
        <v>0</v>
      </c>
      <c r="GW47">
        <v>1</v>
      </c>
      <c r="GX47">
        <f t="shared" si="59"/>
        <v>0</v>
      </c>
      <c r="HA47">
        <v>0</v>
      </c>
      <c r="HB47">
        <v>0</v>
      </c>
      <c r="HC47">
        <f t="shared" si="60"/>
        <v>0</v>
      </c>
      <c r="HE47" t="s">
        <v>3</v>
      </c>
      <c r="HF47" t="s">
        <v>3</v>
      </c>
      <c r="HM47" t="s">
        <v>3</v>
      </c>
      <c r="HN47" t="s">
        <v>3</v>
      </c>
      <c r="HO47" t="s">
        <v>3</v>
      </c>
      <c r="HP47" t="s">
        <v>3</v>
      </c>
      <c r="HQ47" t="s">
        <v>3</v>
      </c>
      <c r="IK47">
        <v>0</v>
      </c>
    </row>
    <row r="48" spans="1:245" x14ac:dyDescent="0.2">
      <c r="A48">
        <v>17</v>
      </c>
      <c r="B48">
        <v>1</v>
      </c>
      <c r="D48">
        <f>ROW(EtalonRes!A37)</f>
        <v>37</v>
      </c>
      <c r="E48" t="s">
        <v>3</v>
      </c>
      <c r="F48" t="s">
        <v>82</v>
      </c>
      <c r="G48" t="s">
        <v>83</v>
      </c>
      <c r="H48" t="s">
        <v>18</v>
      </c>
      <c r="I48">
        <f>ROUND((10+30)*7*0.1/100,9)</f>
        <v>0.28000000000000003</v>
      </c>
      <c r="J48">
        <v>0</v>
      </c>
      <c r="K48">
        <f>ROUND((10+30)*7*0.1/100,9)</f>
        <v>0.28000000000000003</v>
      </c>
      <c r="O48">
        <f t="shared" si="28"/>
        <v>4734.08</v>
      </c>
      <c r="P48">
        <f t="shared" si="29"/>
        <v>763.9</v>
      </c>
      <c r="Q48">
        <f t="shared" si="30"/>
        <v>0</v>
      </c>
      <c r="R48">
        <f t="shared" si="31"/>
        <v>0</v>
      </c>
      <c r="S48">
        <f t="shared" si="32"/>
        <v>3970.18</v>
      </c>
      <c r="T48">
        <f t="shared" si="33"/>
        <v>0</v>
      </c>
      <c r="U48">
        <f t="shared" si="34"/>
        <v>8.2712000000000003</v>
      </c>
      <c r="V48">
        <f t="shared" si="35"/>
        <v>0</v>
      </c>
      <c r="W48">
        <f t="shared" si="36"/>
        <v>0</v>
      </c>
      <c r="X48">
        <f t="shared" si="37"/>
        <v>2779.13</v>
      </c>
      <c r="Y48">
        <f t="shared" si="38"/>
        <v>397.02</v>
      </c>
      <c r="AA48">
        <v>-1</v>
      </c>
      <c r="AB48">
        <f t="shared" si="39"/>
        <v>16907.419999999998</v>
      </c>
      <c r="AC48">
        <f>ROUND((ES48),6)</f>
        <v>2728.22</v>
      </c>
      <c r="AD48">
        <f>ROUND((((ET48)-(EU48))+AE48),6)</f>
        <v>0</v>
      </c>
      <c r="AE48">
        <f>ROUND((EU48),6)</f>
        <v>0</v>
      </c>
      <c r="AF48">
        <f>ROUND((EV48),6)</f>
        <v>14179.2</v>
      </c>
      <c r="AG48">
        <f t="shared" si="40"/>
        <v>0</v>
      </c>
      <c r="AH48">
        <f>(EW48)</f>
        <v>29.54</v>
      </c>
      <c r="AI48">
        <f>(EX48)</f>
        <v>0</v>
      </c>
      <c r="AJ48">
        <f t="shared" si="41"/>
        <v>0</v>
      </c>
      <c r="AK48">
        <v>16907.419999999998</v>
      </c>
      <c r="AL48">
        <v>2728.22</v>
      </c>
      <c r="AM48">
        <v>0</v>
      </c>
      <c r="AN48">
        <v>0</v>
      </c>
      <c r="AO48">
        <v>14179.2</v>
      </c>
      <c r="AP48">
        <v>0</v>
      </c>
      <c r="AQ48">
        <v>29.54</v>
      </c>
      <c r="AR48">
        <v>0</v>
      </c>
      <c r="AS48">
        <v>0</v>
      </c>
      <c r="AT48">
        <v>70</v>
      </c>
      <c r="AU48">
        <v>10</v>
      </c>
      <c r="AV48">
        <v>1</v>
      </c>
      <c r="AW48">
        <v>1</v>
      </c>
      <c r="AZ48">
        <v>1</v>
      </c>
      <c r="BA48">
        <v>1</v>
      </c>
      <c r="BB48">
        <v>1</v>
      </c>
      <c r="BC48">
        <v>1</v>
      </c>
      <c r="BD48" t="s">
        <v>3</v>
      </c>
      <c r="BE48" t="s">
        <v>3</v>
      </c>
      <c r="BF48" t="s">
        <v>3</v>
      </c>
      <c r="BG48" t="s">
        <v>3</v>
      </c>
      <c r="BH48">
        <v>0</v>
      </c>
      <c r="BI48">
        <v>4</v>
      </c>
      <c r="BJ48" t="s">
        <v>84</v>
      </c>
      <c r="BM48">
        <v>0</v>
      </c>
      <c r="BN48">
        <v>0</v>
      </c>
      <c r="BO48" t="s">
        <v>3</v>
      </c>
      <c r="BP48">
        <v>0</v>
      </c>
      <c r="BQ48">
        <v>1</v>
      </c>
      <c r="BR48">
        <v>0</v>
      </c>
      <c r="BS48">
        <v>1</v>
      </c>
      <c r="BT48">
        <v>1</v>
      </c>
      <c r="BU48">
        <v>1</v>
      </c>
      <c r="BV48">
        <v>1</v>
      </c>
      <c r="BW48">
        <v>1</v>
      </c>
      <c r="BX48">
        <v>1</v>
      </c>
      <c r="BY48" t="s">
        <v>3</v>
      </c>
      <c r="BZ48">
        <v>70</v>
      </c>
      <c r="CA48">
        <v>10</v>
      </c>
      <c r="CB48" t="s">
        <v>3</v>
      </c>
      <c r="CE48">
        <v>0</v>
      </c>
      <c r="CF48">
        <v>0</v>
      </c>
      <c r="CG48">
        <v>0</v>
      </c>
      <c r="CM48">
        <v>0</v>
      </c>
      <c r="CN48" t="s">
        <v>3</v>
      </c>
      <c r="CO48">
        <v>0</v>
      </c>
      <c r="CP48">
        <f t="shared" si="42"/>
        <v>4734.08</v>
      </c>
      <c r="CQ48">
        <f t="shared" si="43"/>
        <v>2728.22</v>
      </c>
      <c r="CR48">
        <f>((((ET48)*BB48-(EU48)*BS48)+AE48*BS48)*AV48)</f>
        <v>0</v>
      </c>
      <c r="CS48">
        <f t="shared" si="44"/>
        <v>0</v>
      </c>
      <c r="CT48">
        <f t="shared" si="45"/>
        <v>14179.2</v>
      </c>
      <c r="CU48">
        <f t="shared" si="46"/>
        <v>0</v>
      </c>
      <c r="CV48">
        <f t="shared" si="47"/>
        <v>29.54</v>
      </c>
      <c r="CW48">
        <f t="shared" si="48"/>
        <v>0</v>
      </c>
      <c r="CX48">
        <f t="shared" si="49"/>
        <v>0</v>
      </c>
      <c r="CY48">
        <f t="shared" si="50"/>
        <v>2779.1259999999997</v>
      </c>
      <c r="CZ48">
        <f t="shared" si="51"/>
        <v>397.01799999999997</v>
      </c>
      <c r="DC48" t="s">
        <v>3</v>
      </c>
      <c r="DD48" t="s">
        <v>3</v>
      </c>
      <c r="DE48" t="s">
        <v>3</v>
      </c>
      <c r="DF48" t="s">
        <v>3</v>
      </c>
      <c r="DG48" t="s">
        <v>3</v>
      </c>
      <c r="DH48" t="s">
        <v>3</v>
      </c>
      <c r="DI48" t="s">
        <v>3</v>
      </c>
      <c r="DJ48" t="s">
        <v>3</v>
      </c>
      <c r="DK48" t="s">
        <v>3</v>
      </c>
      <c r="DL48" t="s">
        <v>3</v>
      </c>
      <c r="DM48" t="s">
        <v>3</v>
      </c>
      <c r="DN48">
        <v>0</v>
      </c>
      <c r="DO48">
        <v>0</v>
      </c>
      <c r="DP48">
        <v>1</v>
      </c>
      <c r="DQ48">
        <v>1</v>
      </c>
      <c r="DU48">
        <v>1003</v>
      </c>
      <c r="DV48" t="s">
        <v>18</v>
      </c>
      <c r="DW48" t="s">
        <v>18</v>
      </c>
      <c r="DX48">
        <v>100</v>
      </c>
      <c r="DZ48" t="s">
        <v>3</v>
      </c>
      <c r="EA48" t="s">
        <v>3</v>
      </c>
      <c r="EB48" t="s">
        <v>3</v>
      </c>
      <c r="EC48" t="s">
        <v>3</v>
      </c>
      <c r="EE48">
        <v>1441815344</v>
      </c>
      <c r="EF48">
        <v>1</v>
      </c>
      <c r="EG48" t="s">
        <v>21</v>
      </c>
      <c r="EH48">
        <v>0</v>
      </c>
      <c r="EI48" t="s">
        <v>3</v>
      </c>
      <c r="EJ48">
        <v>4</v>
      </c>
      <c r="EK48">
        <v>0</v>
      </c>
      <c r="EL48" t="s">
        <v>22</v>
      </c>
      <c r="EM48" t="s">
        <v>23</v>
      </c>
      <c r="EO48" t="s">
        <v>3</v>
      </c>
      <c r="EQ48">
        <v>1311744</v>
      </c>
      <c r="ER48">
        <v>16907.419999999998</v>
      </c>
      <c r="ES48">
        <v>2728.22</v>
      </c>
      <c r="ET48">
        <v>0</v>
      </c>
      <c r="EU48">
        <v>0</v>
      </c>
      <c r="EV48">
        <v>14179.2</v>
      </c>
      <c r="EW48">
        <v>29.54</v>
      </c>
      <c r="EX48">
        <v>0</v>
      </c>
      <c r="EY48">
        <v>0</v>
      </c>
      <c r="FQ48">
        <v>0</v>
      </c>
      <c r="FR48">
        <f t="shared" si="52"/>
        <v>0</v>
      </c>
      <c r="FS48">
        <v>0</v>
      </c>
      <c r="FX48">
        <v>70</v>
      </c>
      <c r="FY48">
        <v>10</v>
      </c>
      <c r="GA48" t="s">
        <v>3</v>
      </c>
      <c r="GD48">
        <v>0</v>
      </c>
      <c r="GF48">
        <v>-317825441</v>
      </c>
      <c r="GG48">
        <v>2</v>
      </c>
      <c r="GH48">
        <v>1</v>
      </c>
      <c r="GI48">
        <v>-2</v>
      </c>
      <c r="GJ48">
        <v>0</v>
      </c>
      <c r="GK48">
        <f>ROUND(R48*(R12)/100,2)</f>
        <v>0</v>
      </c>
      <c r="GL48">
        <f t="shared" si="53"/>
        <v>0</v>
      </c>
      <c r="GM48">
        <f t="shared" si="54"/>
        <v>7910.23</v>
      </c>
      <c r="GN48">
        <f t="shared" si="55"/>
        <v>0</v>
      </c>
      <c r="GO48">
        <f t="shared" si="56"/>
        <v>0</v>
      </c>
      <c r="GP48">
        <f t="shared" si="57"/>
        <v>7910.23</v>
      </c>
      <c r="GR48">
        <v>0</v>
      </c>
      <c r="GS48">
        <v>3</v>
      </c>
      <c r="GT48">
        <v>0</v>
      </c>
      <c r="GU48" t="s">
        <v>3</v>
      </c>
      <c r="GV48">
        <f t="shared" si="58"/>
        <v>0</v>
      </c>
      <c r="GW48">
        <v>1</v>
      </c>
      <c r="GX48">
        <f t="shared" si="59"/>
        <v>0</v>
      </c>
      <c r="HA48">
        <v>0</v>
      </c>
      <c r="HB48">
        <v>0</v>
      </c>
      <c r="HC48">
        <f t="shared" si="60"/>
        <v>0</v>
      </c>
      <c r="HE48" t="s">
        <v>3</v>
      </c>
      <c r="HF48" t="s">
        <v>3</v>
      </c>
      <c r="HM48" t="s">
        <v>3</v>
      </c>
      <c r="HN48" t="s">
        <v>3</v>
      </c>
      <c r="HO48" t="s">
        <v>3</v>
      </c>
      <c r="HP48" t="s">
        <v>3</v>
      </c>
      <c r="HQ48" t="s">
        <v>3</v>
      </c>
      <c r="IK48">
        <v>0</v>
      </c>
    </row>
    <row r="49" spans="1:245" x14ac:dyDescent="0.2">
      <c r="A49">
        <v>17</v>
      </c>
      <c r="B49">
        <v>1</v>
      </c>
      <c r="D49">
        <f>ROW(EtalonRes!A38)</f>
        <v>38</v>
      </c>
      <c r="E49" t="s">
        <v>85</v>
      </c>
      <c r="F49" t="s">
        <v>86</v>
      </c>
      <c r="G49" t="s">
        <v>87</v>
      </c>
      <c r="H49" t="s">
        <v>31</v>
      </c>
      <c r="I49">
        <f>ROUND(1*7/10,9)</f>
        <v>0.7</v>
      </c>
      <c r="J49">
        <v>0</v>
      </c>
      <c r="K49">
        <f>ROUND(1*7/10,9)</f>
        <v>0.7</v>
      </c>
      <c r="O49">
        <f t="shared" si="28"/>
        <v>1763.55</v>
      </c>
      <c r="P49">
        <f t="shared" si="29"/>
        <v>0</v>
      </c>
      <c r="Q49">
        <f t="shared" si="30"/>
        <v>0</v>
      </c>
      <c r="R49">
        <f t="shared" si="31"/>
        <v>0</v>
      </c>
      <c r="S49">
        <f t="shared" si="32"/>
        <v>1763.55</v>
      </c>
      <c r="T49">
        <f t="shared" si="33"/>
        <v>0</v>
      </c>
      <c r="U49">
        <f t="shared" si="34"/>
        <v>2.8559999999999999</v>
      </c>
      <c r="V49">
        <f t="shared" si="35"/>
        <v>0</v>
      </c>
      <c r="W49">
        <f t="shared" si="36"/>
        <v>0</v>
      </c>
      <c r="X49">
        <f t="shared" si="37"/>
        <v>1234.49</v>
      </c>
      <c r="Y49">
        <f t="shared" si="38"/>
        <v>176.36</v>
      </c>
      <c r="AA49">
        <v>1471718271</v>
      </c>
      <c r="AB49">
        <f t="shared" si="39"/>
        <v>2519.36</v>
      </c>
      <c r="AC49">
        <f>ROUND(((ES49*2)),6)</f>
        <v>0</v>
      </c>
      <c r="AD49">
        <f>ROUND(((((ET49*2))-((EU49*2)))+AE49),6)</f>
        <v>0</v>
      </c>
      <c r="AE49">
        <f>ROUND(((EU49*2)),6)</f>
        <v>0</v>
      </c>
      <c r="AF49">
        <f>ROUND(((EV49*2)),6)</f>
        <v>2519.36</v>
      </c>
      <c r="AG49">
        <f t="shared" si="40"/>
        <v>0</v>
      </c>
      <c r="AH49">
        <f>((EW49*2))</f>
        <v>4.08</v>
      </c>
      <c r="AI49">
        <f>((EX49*2))</f>
        <v>0</v>
      </c>
      <c r="AJ49">
        <f t="shared" si="41"/>
        <v>0</v>
      </c>
      <c r="AK49">
        <v>1259.68</v>
      </c>
      <c r="AL49">
        <v>0</v>
      </c>
      <c r="AM49">
        <v>0</v>
      </c>
      <c r="AN49">
        <v>0</v>
      </c>
      <c r="AO49">
        <v>1259.68</v>
      </c>
      <c r="AP49">
        <v>0</v>
      </c>
      <c r="AQ49">
        <v>2.04</v>
      </c>
      <c r="AR49">
        <v>0</v>
      </c>
      <c r="AS49">
        <v>0</v>
      </c>
      <c r="AT49">
        <v>70</v>
      </c>
      <c r="AU49">
        <v>10</v>
      </c>
      <c r="AV49">
        <v>1</v>
      </c>
      <c r="AW49">
        <v>1</v>
      </c>
      <c r="AZ49">
        <v>1</v>
      </c>
      <c r="BA49">
        <v>1</v>
      </c>
      <c r="BB49">
        <v>1</v>
      </c>
      <c r="BC49">
        <v>1</v>
      </c>
      <c r="BD49" t="s">
        <v>3</v>
      </c>
      <c r="BE49" t="s">
        <v>3</v>
      </c>
      <c r="BF49" t="s">
        <v>3</v>
      </c>
      <c r="BG49" t="s">
        <v>3</v>
      </c>
      <c r="BH49">
        <v>0</v>
      </c>
      <c r="BI49">
        <v>4</v>
      </c>
      <c r="BJ49" t="s">
        <v>88</v>
      </c>
      <c r="BM49">
        <v>0</v>
      </c>
      <c r="BN49">
        <v>0</v>
      </c>
      <c r="BO49" t="s">
        <v>3</v>
      </c>
      <c r="BP49">
        <v>0</v>
      </c>
      <c r="BQ49">
        <v>1</v>
      </c>
      <c r="BR49">
        <v>0</v>
      </c>
      <c r="BS49">
        <v>1</v>
      </c>
      <c r="BT49">
        <v>1</v>
      </c>
      <c r="BU49">
        <v>1</v>
      </c>
      <c r="BV49">
        <v>1</v>
      </c>
      <c r="BW49">
        <v>1</v>
      </c>
      <c r="BX49">
        <v>1</v>
      </c>
      <c r="BY49" t="s">
        <v>3</v>
      </c>
      <c r="BZ49">
        <v>70</v>
      </c>
      <c r="CA49">
        <v>10</v>
      </c>
      <c r="CB49" t="s">
        <v>3</v>
      </c>
      <c r="CE49">
        <v>0</v>
      </c>
      <c r="CF49">
        <v>0</v>
      </c>
      <c r="CG49">
        <v>0</v>
      </c>
      <c r="CM49">
        <v>0</v>
      </c>
      <c r="CN49" t="s">
        <v>3</v>
      </c>
      <c r="CO49">
        <v>0</v>
      </c>
      <c r="CP49">
        <f t="shared" si="42"/>
        <v>1763.55</v>
      </c>
      <c r="CQ49">
        <f t="shared" si="43"/>
        <v>0</v>
      </c>
      <c r="CR49">
        <f>(((((ET49*2))*BB49-((EU49*2))*BS49)+AE49*BS49)*AV49)</f>
        <v>0</v>
      </c>
      <c r="CS49">
        <f t="shared" si="44"/>
        <v>0</v>
      </c>
      <c r="CT49">
        <f t="shared" si="45"/>
        <v>2519.36</v>
      </c>
      <c r="CU49">
        <f t="shared" si="46"/>
        <v>0</v>
      </c>
      <c r="CV49">
        <f t="shared" si="47"/>
        <v>4.08</v>
      </c>
      <c r="CW49">
        <f t="shared" si="48"/>
        <v>0</v>
      </c>
      <c r="CX49">
        <f t="shared" si="49"/>
        <v>0</v>
      </c>
      <c r="CY49">
        <f t="shared" si="50"/>
        <v>1234.4849999999999</v>
      </c>
      <c r="CZ49">
        <f t="shared" si="51"/>
        <v>176.35499999999999</v>
      </c>
      <c r="DC49" t="s">
        <v>3</v>
      </c>
      <c r="DD49" t="s">
        <v>42</v>
      </c>
      <c r="DE49" t="s">
        <v>42</v>
      </c>
      <c r="DF49" t="s">
        <v>42</v>
      </c>
      <c r="DG49" t="s">
        <v>42</v>
      </c>
      <c r="DH49" t="s">
        <v>3</v>
      </c>
      <c r="DI49" t="s">
        <v>42</v>
      </c>
      <c r="DJ49" t="s">
        <v>42</v>
      </c>
      <c r="DK49" t="s">
        <v>3</v>
      </c>
      <c r="DL49" t="s">
        <v>3</v>
      </c>
      <c r="DM49" t="s">
        <v>3</v>
      </c>
      <c r="DN49">
        <v>0</v>
      </c>
      <c r="DO49">
        <v>0</v>
      </c>
      <c r="DP49">
        <v>1</v>
      </c>
      <c r="DQ49">
        <v>1</v>
      </c>
      <c r="DU49">
        <v>16987630</v>
      </c>
      <c r="DV49" t="s">
        <v>31</v>
      </c>
      <c r="DW49" t="s">
        <v>31</v>
      </c>
      <c r="DX49">
        <v>10</v>
      </c>
      <c r="DZ49" t="s">
        <v>3</v>
      </c>
      <c r="EA49" t="s">
        <v>3</v>
      </c>
      <c r="EB49" t="s">
        <v>3</v>
      </c>
      <c r="EC49" t="s">
        <v>3</v>
      </c>
      <c r="EE49">
        <v>1441815344</v>
      </c>
      <c r="EF49">
        <v>1</v>
      </c>
      <c r="EG49" t="s">
        <v>21</v>
      </c>
      <c r="EH49">
        <v>0</v>
      </c>
      <c r="EI49" t="s">
        <v>3</v>
      </c>
      <c r="EJ49">
        <v>4</v>
      </c>
      <c r="EK49">
        <v>0</v>
      </c>
      <c r="EL49" t="s">
        <v>22</v>
      </c>
      <c r="EM49" t="s">
        <v>23</v>
      </c>
      <c r="EO49" t="s">
        <v>3</v>
      </c>
      <c r="EQ49">
        <v>0</v>
      </c>
      <c r="ER49">
        <v>1259.68</v>
      </c>
      <c r="ES49">
        <v>0</v>
      </c>
      <c r="ET49">
        <v>0</v>
      </c>
      <c r="EU49">
        <v>0</v>
      </c>
      <c r="EV49">
        <v>1259.68</v>
      </c>
      <c r="EW49">
        <v>2.04</v>
      </c>
      <c r="EX49">
        <v>0</v>
      </c>
      <c r="EY49">
        <v>0</v>
      </c>
      <c r="FQ49">
        <v>0</v>
      </c>
      <c r="FR49">
        <f t="shared" si="52"/>
        <v>0</v>
      </c>
      <c r="FS49">
        <v>0</v>
      </c>
      <c r="FX49">
        <v>70</v>
      </c>
      <c r="FY49">
        <v>10</v>
      </c>
      <c r="GA49" t="s">
        <v>3</v>
      </c>
      <c r="GD49">
        <v>0</v>
      </c>
      <c r="GF49">
        <v>-675599503</v>
      </c>
      <c r="GG49">
        <v>2</v>
      </c>
      <c r="GH49">
        <v>1</v>
      </c>
      <c r="GI49">
        <v>-2</v>
      </c>
      <c r="GJ49">
        <v>0</v>
      </c>
      <c r="GK49">
        <f>ROUND(R49*(R12)/100,2)</f>
        <v>0</v>
      </c>
      <c r="GL49">
        <f t="shared" si="53"/>
        <v>0</v>
      </c>
      <c r="GM49">
        <f t="shared" si="54"/>
        <v>3174.4</v>
      </c>
      <c r="GN49">
        <f t="shared" si="55"/>
        <v>0</v>
      </c>
      <c r="GO49">
        <f t="shared" si="56"/>
        <v>0</v>
      </c>
      <c r="GP49">
        <f t="shared" si="57"/>
        <v>3174.4</v>
      </c>
      <c r="GR49">
        <v>0</v>
      </c>
      <c r="GS49">
        <v>3</v>
      </c>
      <c r="GT49">
        <v>0</v>
      </c>
      <c r="GU49" t="s">
        <v>3</v>
      </c>
      <c r="GV49">
        <f t="shared" si="58"/>
        <v>0</v>
      </c>
      <c r="GW49">
        <v>1</v>
      </c>
      <c r="GX49">
        <f t="shared" si="59"/>
        <v>0</v>
      </c>
      <c r="HA49">
        <v>0</v>
      </c>
      <c r="HB49">
        <v>0</v>
      </c>
      <c r="HC49">
        <f t="shared" si="60"/>
        <v>0</v>
      </c>
      <c r="HE49" t="s">
        <v>3</v>
      </c>
      <c r="HF49" t="s">
        <v>3</v>
      </c>
      <c r="HM49" t="s">
        <v>3</v>
      </c>
      <c r="HN49" t="s">
        <v>3</v>
      </c>
      <c r="HO49" t="s">
        <v>3</v>
      </c>
      <c r="HP49" t="s">
        <v>3</v>
      </c>
      <c r="HQ49" t="s">
        <v>3</v>
      </c>
      <c r="IK49">
        <v>0</v>
      </c>
    </row>
    <row r="50" spans="1:245" x14ac:dyDescent="0.2">
      <c r="A50">
        <v>17</v>
      </c>
      <c r="B50">
        <v>1</v>
      </c>
      <c r="D50">
        <f>ROW(EtalonRes!A39)</f>
        <v>39</v>
      </c>
      <c r="E50" t="s">
        <v>3</v>
      </c>
      <c r="F50" t="s">
        <v>89</v>
      </c>
      <c r="G50" t="s">
        <v>90</v>
      </c>
      <c r="H50" t="s">
        <v>31</v>
      </c>
      <c r="I50">
        <f>ROUND(13/10,9)</f>
        <v>1.3</v>
      </c>
      <c r="J50">
        <v>0</v>
      </c>
      <c r="K50">
        <f>ROUND(13/10,9)</f>
        <v>1.3</v>
      </c>
      <c r="O50">
        <f t="shared" si="28"/>
        <v>979.34</v>
      </c>
      <c r="P50">
        <f t="shared" si="29"/>
        <v>0</v>
      </c>
      <c r="Q50">
        <f t="shared" si="30"/>
        <v>0</v>
      </c>
      <c r="R50">
        <f t="shared" si="31"/>
        <v>0</v>
      </c>
      <c r="S50">
        <f t="shared" si="32"/>
        <v>979.34</v>
      </c>
      <c r="T50">
        <f t="shared" si="33"/>
        <v>0</v>
      </c>
      <c r="U50">
        <f t="shared" si="34"/>
        <v>1.5860000000000001</v>
      </c>
      <c r="V50">
        <f t="shared" si="35"/>
        <v>0</v>
      </c>
      <c r="W50">
        <f t="shared" si="36"/>
        <v>0</v>
      </c>
      <c r="X50">
        <f t="shared" si="37"/>
        <v>685.54</v>
      </c>
      <c r="Y50">
        <f t="shared" si="38"/>
        <v>97.93</v>
      </c>
      <c r="AA50">
        <v>-1</v>
      </c>
      <c r="AB50">
        <f t="shared" si="39"/>
        <v>753.34</v>
      </c>
      <c r="AC50">
        <f>ROUND((ES50),6)</f>
        <v>0</v>
      </c>
      <c r="AD50">
        <f>ROUND((((ET50)-(EU50))+AE50),6)</f>
        <v>0</v>
      </c>
      <c r="AE50">
        <f>ROUND((EU50),6)</f>
        <v>0</v>
      </c>
      <c r="AF50">
        <f>ROUND(((EV50*2)),6)</f>
        <v>753.34</v>
      </c>
      <c r="AG50">
        <f t="shared" si="40"/>
        <v>0</v>
      </c>
      <c r="AH50">
        <f>((EW50*2))</f>
        <v>1.22</v>
      </c>
      <c r="AI50">
        <f>(EX50)</f>
        <v>0</v>
      </c>
      <c r="AJ50">
        <f t="shared" si="41"/>
        <v>0</v>
      </c>
      <c r="AK50">
        <v>376.67</v>
      </c>
      <c r="AL50">
        <v>0</v>
      </c>
      <c r="AM50">
        <v>0</v>
      </c>
      <c r="AN50">
        <v>0</v>
      </c>
      <c r="AO50">
        <v>376.67</v>
      </c>
      <c r="AP50">
        <v>0</v>
      </c>
      <c r="AQ50">
        <v>0.61</v>
      </c>
      <c r="AR50">
        <v>0</v>
      </c>
      <c r="AS50">
        <v>0</v>
      </c>
      <c r="AT50">
        <v>70</v>
      </c>
      <c r="AU50">
        <v>10</v>
      </c>
      <c r="AV50">
        <v>1</v>
      </c>
      <c r="AW50">
        <v>1</v>
      </c>
      <c r="AZ50">
        <v>1</v>
      </c>
      <c r="BA50">
        <v>1</v>
      </c>
      <c r="BB50">
        <v>1</v>
      </c>
      <c r="BC50">
        <v>1</v>
      </c>
      <c r="BD50" t="s">
        <v>3</v>
      </c>
      <c r="BE50" t="s">
        <v>3</v>
      </c>
      <c r="BF50" t="s">
        <v>3</v>
      </c>
      <c r="BG50" t="s">
        <v>3</v>
      </c>
      <c r="BH50">
        <v>0</v>
      </c>
      <c r="BI50">
        <v>4</v>
      </c>
      <c r="BJ50" t="s">
        <v>91</v>
      </c>
      <c r="BM50">
        <v>0</v>
      </c>
      <c r="BN50">
        <v>0</v>
      </c>
      <c r="BO50" t="s">
        <v>3</v>
      </c>
      <c r="BP50">
        <v>0</v>
      </c>
      <c r="BQ50">
        <v>1</v>
      </c>
      <c r="BR50">
        <v>0</v>
      </c>
      <c r="BS50">
        <v>1</v>
      </c>
      <c r="BT50">
        <v>1</v>
      </c>
      <c r="BU50">
        <v>1</v>
      </c>
      <c r="BV50">
        <v>1</v>
      </c>
      <c r="BW50">
        <v>1</v>
      </c>
      <c r="BX50">
        <v>1</v>
      </c>
      <c r="BY50" t="s">
        <v>3</v>
      </c>
      <c r="BZ50">
        <v>70</v>
      </c>
      <c r="CA50">
        <v>10</v>
      </c>
      <c r="CB50" t="s">
        <v>3</v>
      </c>
      <c r="CE50">
        <v>0</v>
      </c>
      <c r="CF50">
        <v>0</v>
      </c>
      <c r="CG50">
        <v>0</v>
      </c>
      <c r="CM50">
        <v>0</v>
      </c>
      <c r="CN50" t="s">
        <v>3</v>
      </c>
      <c r="CO50">
        <v>0</v>
      </c>
      <c r="CP50">
        <f t="shared" si="42"/>
        <v>979.34</v>
      </c>
      <c r="CQ50">
        <f t="shared" si="43"/>
        <v>0</v>
      </c>
      <c r="CR50">
        <f>((((ET50)*BB50-(EU50)*BS50)+AE50*BS50)*AV50)</f>
        <v>0</v>
      </c>
      <c r="CS50">
        <f t="shared" si="44"/>
        <v>0</v>
      </c>
      <c r="CT50">
        <f t="shared" si="45"/>
        <v>753.34</v>
      </c>
      <c r="CU50">
        <f t="shared" si="46"/>
        <v>0</v>
      </c>
      <c r="CV50">
        <f t="shared" si="47"/>
        <v>1.22</v>
      </c>
      <c r="CW50">
        <f t="shared" si="48"/>
        <v>0</v>
      </c>
      <c r="CX50">
        <f t="shared" si="49"/>
        <v>0</v>
      </c>
      <c r="CY50">
        <f t="shared" si="50"/>
        <v>685.53800000000001</v>
      </c>
      <c r="CZ50">
        <f t="shared" si="51"/>
        <v>97.933999999999997</v>
      </c>
      <c r="DC50" t="s">
        <v>3</v>
      </c>
      <c r="DD50" t="s">
        <v>3</v>
      </c>
      <c r="DE50" t="s">
        <v>3</v>
      </c>
      <c r="DF50" t="s">
        <v>3</v>
      </c>
      <c r="DG50" t="s">
        <v>42</v>
      </c>
      <c r="DH50" t="s">
        <v>3</v>
      </c>
      <c r="DI50" t="s">
        <v>42</v>
      </c>
      <c r="DJ50" t="s">
        <v>3</v>
      </c>
      <c r="DK50" t="s">
        <v>3</v>
      </c>
      <c r="DL50" t="s">
        <v>3</v>
      </c>
      <c r="DM50" t="s">
        <v>3</v>
      </c>
      <c r="DN50">
        <v>0</v>
      </c>
      <c r="DO50">
        <v>0</v>
      </c>
      <c r="DP50">
        <v>1</v>
      </c>
      <c r="DQ50">
        <v>1</v>
      </c>
      <c r="DU50">
        <v>16987630</v>
      </c>
      <c r="DV50" t="s">
        <v>31</v>
      </c>
      <c r="DW50" t="s">
        <v>31</v>
      </c>
      <c r="DX50">
        <v>10</v>
      </c>
      <c r="DZ50" t="s">
        <v>3</v>
      </c>
      <c r="EA50" t="s">
        <v>3</v>
      </c>
      <c r="EB50" t="s">
        <v>3</v>
      </c>
      <c r="EC50" t="s">
        <v>3</v>
      </c>
      <c r="EE50">
        <v>1441815344</v>
      </c>
      <c r="EF50">
        <v>1</v>
      </c>
      <c r="EG50" t="s">
        <v>21</v>
      </c>
      <c r="EH50">
        <v>0</v>
      </c>
      <c r="EI50" t="s">
        <v>3</v>
      </c>
      <c r="EJ50">
        <v>4</v>
      </c>
      <c r="EK50">
        <v>0</v>
      </c>
      <c r="EL50" t="s">
        <v>22</v>
      </c>
      <c r="EM50" t="s">
        <v>23</v>
      </c>
      <c r="EO50" t="s">
        <v>3</v>
      </c>
      <c r="EQ50">
        <v>1024</v>
      </c>
      <c r="ER50">
        <v>376.67</v>
      </c>
      <c r="ES50">
        <v>0</v>
      </c>
      <c r="ET50">
        <v>0</v>
      </c>
      <c r="EU50">
        <v>0</v>
      </c>
      <c r="EV50">
        <v>376.67</v>
      </c>
      <c r="EW50">
        <v>0.61</v>
      </c>
      <c r="EX50">
        <v>0</v>
      </c>
      <c r="EY50">
        <v>0</v>
      </c>
      <c r="FQ50">
        <v>0</v>
      </c>
      <c r="FR50">
        <f t="shared" si="52"/>
        <v>0</v>
      </c>
      <c r="FS50">
        <v>0</v>
      </c>
      <c r="FX50">
        <v>70</v>
      </c>
      <c r="FY50">
        <v>10</v>
      </c>
      <c r="GA50" t="s">
        <v>3</v>
      </c>
      <c r="GD50">
        <v>0</v>
      </c>
      <c r="GF50">
        <v>357408898</v>
      </c>
      <c r="GG50">
        <v>2</v>
      </c>
      <c r="GH50">
        <v>1</v>
      </c>
      <c r="GI50">
        <v>-2</v>
      </c>
      <c r="GJ50">
        <v>0</v>
      </c>
      <c r="GK50">
        <f>ROUND(R50*(R12)/100,2)</f>
        <v>0</v>
      </c>
      <c r="GL50">
        <f t="shared" si="53"/>
        <v>0</v>
      </c>
      <c r="GM50">
        <f t="shared" si="54"/>
        <v>1762.81</v>
      </c>
      <c r="GN50">
        <f t="shared" si="55"/>
        <v>0</v>
      </c>
      <c r="GO50">
        <f t="shared" si="56"/>
        <v>0</v>
      </c>
      <c r="GP50">
        <f t="shared" si="57"/>
        <v>1762.81</v>
      </c>
      <c r="GR50">
        <v>0</v>
      </c>
      <c r="GS50">
        <v>3</v>
      </c>
      <c r="GT50">
        <v>0</v>
      </c>
      <c r="GU50" t="s">
        <v>3</v>
      </c>
      <c r="GV50">
        <f t="shared" si="58"/>
        <v>0</v>
      </c>
      <c r="GW50">
        <v>1</v>
      </c>
      <c r="GX50">
        <f t="shared" si="59"/>
        <v>0</v>
      </c>
      <c r="HA50">
        <v>0</v>
      </c>
      <c r="HB50">
        <v>0</v>
      </c>
      <c r="HC50">
        <f t="shared" si="60"/>
        <v>0</v>
      </c>
      <c r="HE50" t="s">
        <v>3</v>
      </c>
      <c r="HF50" t="s">
        <v>3</v>
      </c>
      <c r="HM50" t="s">
        <v>3</v>
      </c>
      <c r="HN50" t="s">
        <v>3</v>
      </c>
      <c r="HO50" t="s">
        <v>3</v>
      </c>
      <c r="HP50" t="s">
        <v>3</v>
      </c>
      <c r="HQ50" t="s">
        <v>3</v>
      </c>
      <c r="IK50">
        <v>0</v>
      </c>
    </row>
    <row r="51" spans="1:245" x14ac:dyDescent="0.2">
      <c r="A51">
        <v>17</v>
      </c>
      <c r="B51">
        <v>1</v>
      </c>
      <c r="D51">
        <f>ROW(EtalonRes!A40)</f>
        <v>40</v>
      </c>
      <c r="E51" t="s">
        <v>3</v>
      </c>
      <c r="F51" t="s">
        <v>92</v>
      </c>
      <c r="G51" t="s">
        <v>93</v>
      </c>
      <c r="H51" t="s">
        <v>36</v>
      </c>
      <c r="I51">
        <f>ROUND(1*7,9)</f>
        <v>7</v>
      </c>
      <c r="J51">
        <v>0</v>
      </c>
      <c r="K51">
        <f>ROUND(1*7,9)</f>
        <v>7</v>
      </c>
      <c r="O51">
        <f t="shared" si="28"/>
        <v>5800.76</v>
      </c>
      <c r="P51">
        <f t="shared" si="29"/>
        <v>0</v>
      </c>
      <c r="Q51">
        <f t="shared" si="30"/>
        <v>0</v>
      </c>
      <c r="R51">
        <f t="shared" si="31"/>
        <v>0</v>
      </c>
      <c r="S51">
        <f t="shared" si="32"/>
        <v>5800.76</v>
      </c>
      <c r="T51">
        <f t="shared" si="33"/>
        <v>0</v>
      </c>
      <c r="U51">
        <f t="shared" si="34"/>
        <v>11.200000000000001</v>
      </c>
      <c r="V51">
        <f t="shared" si="35"/>
        <v>0</v>
      </c>
      <c r="W51">
        <f t="shared" si="36"/>
        <v>0</v>
      </c>
      <c r="X51">
        <f t="shared" si="37"/>
        <v>4060.53</v>
      </c>
      <c r="Y51">
        <f t="shared" si="38"/>
        <v>580.08000000000004</v>
      </c>
      <c r="AA51">
        <v>-1</v>
      </c>
      <c r="AB51">
        <f t="shared" si="39"/>
        <v>828.68</v>
      </c>
      <c r="AC51">
        <f>ROUND(((ES51*4)),6)</f>
        <v>0</v>
      </c>
      <c r="AD51">
        <f>ROUND(((((ET51*4))-((EU51*4)))+AE51),6)</f>
        <v>0</v>
      </c>
      <c r="AE51">
        <f>ROUND(((EU51*4)),6)</f>
        <v>0</v>
      </c>
      <c r="AF51">
        <f>ROUND(((EV51*4)),6)</f>
        <v>828.68</v>
      </c>
      <c r="AG51">
        <f t="shared" si="40"/>
        <v>0</v>
      </c>
      <c r="AH51">
        <f>((EW51*4))</f>
        <v>1.6</v>
      </c>
      <c r="AI51">
        <f>((EX51*4))</f>
        <v>0</v>
      </c>
      <c r="AJ51">
        <f t="shared" si="41"/>
        <v>0</v>
      </c>
      <c r="AK51">
        <v>207.17</v>
      </c>
      <c r="AL51">
        <v>0</v>
      </c>
      <c r="AM51">
        <v>0</v>
      </c>
      <c r="AN51">
        <v>0</v>
      </c>
      <c r="AO51">
        <v>207.17</v>
      </c>
      <c r="AP51">
        <v>0</v>
      </c>
      <c r="AQ51">
        <v>0.4</v>
      </c>
      <c r="AR51">
        <v>0</v>
      </c>
      <c r="AS51">
        <v>0</v>
      </c>
      <c r="AT51">
        <v>70</v>
      </c>
      <c r="AU51">
        <v>10</v>
      </c>
      <c r="AV51">
        <v>1</v>
      </c>
      <c r="AW51">
        <v>1</v>
      </c>
      <c r="AZ51">
        <v>1</v>
      </c>
      <c r="BA51">
        <v>1</v>
      </c>
      <c r="BB51">
        <v>1</v>
      </c>
      <c r="BC51">
        <v>1</v>
      </c>
      <c r="BD51" t="s">
        <v>3</v>
      </c>
      <c r="BE51" t="s">
        <v>3</v>
      </c>
      <c r="BF51" t="s">
        <v>3</v>
      </c>
      <c r="BG51" t="s">
        <v>3</v>
      </c>
      <c r="BH51">
        <v>0</v>
      </c>
      <c r="BI51">
        <v>4</v>
      </c>
      <c r="BJ51" t="s">
        <v>94</v>
      </c>
      <c r="BM51">
        <v>0</v>
      </c>
      <c r="BN51">
        <v>0</v>
      </c>
      <c r="BO51" t="s">
        <v>3</v>
      </c>
      <c r="BP51">
        <v>0</v>
      </c>
      <c r="BQ51">
        <v>1</v>
      </c>
      <c r="BR51">
        <v>0</v>
      </c>
      <c r="BS51">
        <v>1</v>
      </c>
      <c r="BT51">
        <v>1</v>
      </c>
      <c r="BU51">
        <v>1</v>
      </c>
      <c r="BV51">
        <v>1</v>
      </c>
      <c r="BW51">
        <v>1</v>
      </c>
      <c r="BX51">
        <v>1</v>
      </c>
      <c r="BY51" t="s">
        <v>3</v>
      </c>
      <c r="BZ51">
        <v>70</v>
      </c>
      <c r="CA51">
        <v>10</v>
      </c>
      <c r="CB51" t="s">
        <v>3</v>
      </c>
      <c r="CE51">
        <v>0</v>
      </c>
      <c r="CF51">
        <v>0</v>
      </c>
      <c r="CG51">
        <v>0</v>
      </c>
      <c r="CM51">
        <v>0</v>
      </c>
      <c r="CN51" t="s">
        <v>3</v>
      </c>
      <c r="CO51">
        <v>0</v>
      </c>
      <c r="CP51">
        <f t="shared" si="42"/>
        <v>5800.76</v>
      </c>
      <c r="CQ51">
        <f t="shared" si="43"/>
        <v>0</v>
      </c>
      <c r="CR51">
        <f>(((((ET51*4))*BB51-((EU51*4))*BS51)+AE51*BS51)*AV51)</f>
        <v>0</v>
      </c>
      <c r="CS51">
        <f t="shared" si="44"/>
        <v>0</v>
      </c>
      <c r="CT51">
        <f t="shared" si="45"/>
        <v>828.68</v>
      </c>
      <c r="CU51">
        <f t="shared" si="46"/>
        <v>0</v>
      </c>
      <c r="CV51">
        <f t="shared" si="47"/>
        <v>1.6</v>
      </c>
      <c r="CW51">
        <f t="shared" si="48"/>
        <v>0</v>
      </c>
      <c r="CX51">
        <f t="shared" si="49"/>
        <v>0</v>
      </c>
      <c r="CY51">
        <f t="shared" si="50"/>
        <v>4060.5320000000002</v>
      </c>
      <c r="CZ51">
        <f t="shared" si="51"/>
        <v>580.07600000000002</v>
      </c>
      <c r="DC51" t="s">
        <v>3</v>
      </c>
      <c r="DD51" t="s">
        <v>20</v>
      </c>
      <c r="DE51" t="s">
        <v>20</v>
      </c>
      <c r="DF51" t="s">
        <v>20</v>
      </c>
      <c r="DG51" t="s">
        <v>20</v>
      </c>
      <c r="DH51" t="s">
        <v>3</v>
      </c>
      <c r="DI51" t="s">
        <v>20</v>
      </c>
      <c r="DJ51" t="s">
        <v>20</v>
      </c>
      <c r="DK51" t="s">
        <v>3</v>
      </c>
      <c r="DL51" t="s">
        <v>3</v>
      </c>
      <c r="DM51" t="s">
        <v>3</v>
      </c>
      <c r="DN51">
        <v>0</v>
      </c>
      <c r="DO51">
        <v>0</v>
      </c>
      <c r="DP51">
        <v>1</v>
      </c>
      <c r="DQ51">
        <v>1</v>
      </c>
      <c r="DU51">
        <v>16987630</v>
      </c>
      <c r="DV51" t="s">
        <v>36</v>
      </c>
      <c r="DW51" t="s">
        <v>36</v>
      </c>
      <c r="DX51">
        <v>1</v>
      </c>
      <c r="DZ51" t="s">
        <v>3</v>
      </c>
      <c r="EA51" t="s">
        <v>3</v>
      </c>
      <c r="EB51" t="s">
        <v>3</v>
      </c>
      <c r="EC51" t="s">
        <v>3</v>
      </c>
      <c r="EE51">
        <v>1441815344</v>
      </c>
      <c r="EF51">
        <v>1</v>
      </c>
      <c r="EG51" t="s">
        <v>21</v>
      </c>
      <c r="EH51">
        <v>0</v>
      </c>
      <c r="EI51" t="s">
        <v>3</v>
      </c>
      <c r="EJ51">
        <v>4</v>
      </c>
      <c r="EK51">
        <v>0</v>
      </c>
      <c r="EL51" t="s">
        <v>22</v>
      </c>
      <c r="EM51" t="s">
        <v>23</v>
      </c>
      <c r="EO51" t="s">
        <v>3</v>
      </c>
      <c r="EQ51">
        <v>1311744</v>
      </c>
      <c r="ER51">
        <v>207.17</v>
      </c>
      <c r="ES51">
        <v>0</v>
      </c>
      <c r="ET51">
        <v>0</v>
      </c>
      <c r="EU51">
        <v>0</v>
      </c>
      <c r="EV51">
        <v>207.17</v>
      </c>
      <c r="EW51">
        <v>0.4</v>
      </c>
      <c r="EX51">
        <v>0</v>
      </c>
      <c r="EY51">
        <v>0</v>
      </c>
      <c r="FQ51">
        <v>0</v>
      </c>
      <c r="FR51">
        <f t="shared" si="52"/>
        <v>0</v>
      </c>
      <c r="FS51">
        <v>0</v>
      </c>
      <c r="FX51">
        <v>70</v>
      </c>
      <c r="FY51">
        <v>10</v>
      </c>
      <c r="GA51" t="s">
        <v>3</v>
      </c>
      <c r="GD51">
        <v>0</v>
      </c>
      <c r="GF51">
        <v>585812762</v>
      </c>
      <c r="GG51">
        <v>2</v>
      </c>
      <c r="GH51">
        <v>1</v>
      </c>
      <c r="GI51">
        <v>-2</v>
      </c>
      <c r="GJ51">
        <v>0</v>
      </c>
      <c r="GK51">
        <f>ROUND(R51*(R12)/100,2)</f>
        <v>0</v>
      </c>
      <c r="GL51">
        <f t="shared" si="53"/>
        <v>0</v>
      </c>
      <c r="GM51">
        <f t="shared" si="54"/>
        <v>10441.370000000001</v>
      </c>
      <c r="GN51">
        <f t="shared" si="55"/>
        <v>0</v>
      </c>
      <c r="GO51">
        <f t="shared" si="56"/>
        <v>0</v>
      </c>
      <c r="GP51">
        <f t="shared" si="57"/>
        <v>10441.370000000001</v>
      </c>
      <c r="GR51">
        <v>0</v>
      </c>
      <c r="GS51">
        <v>3</v>
      </c>
      <c r="GT51">
        <v>0</v>
      </c>
      <c r="GU51" t="s">
        <v>3</v>
      </c>
      <c r="GV51">
        <f t="shared" si="58"/>
        <v>0</v>
      </c>
      <c r="GW51">
        <v>1</v>
      </c>
      <c r="GX51">
        <f t="shared" si="59"/>
        <v>0</v>
      </c>
      <c r="HA51">
        <v>0</v>
      </c>
      <c r="HB51">
        <v>0</v>
      </c>
      <c r="HC51">
        <f t="shared" si="60"/>
        <v>0</v>
      </c>
      <c r="HE51" t="s">
        <v>3</v>
      </c>
      <c r="HF51" t="s">
        <v>3</v>
      </c>
      <c r="HM51" t="s">
        <v>3</v>
      </c>
      <c r="HN51" t="s">
        <v>3</v>
      </c>
      <c r="HO51" t="s">
        <v>3</v>
      </c>
      <c r="HP51" t="s">
        <v>3</v>
      </c>
      <c r="HQ51" t="s">
        <v>3</v>
      </c>
      <c r="IK51">
        <v>0</v>
      </c>
    </row>
    <row r="52" spans="1:245" x14ac:dyDescent="0.2">
      <c r="A52">
        <v>17</v>
      </c>
      <c r="B52">
        <v>1</v>
      </c>
      <c r="D52">
        <f>ROW(EtalonRes!A41)</f>
        <v>41</v>
      </c>
      <c r="E52" t="s">
        <v>3</v>
      </c>
      <c r="F52" t="s">
        <v>95</v>
      </c>
      <c r="G52" t="s">
        <v>96</v>
      </c>
      <c r="H52" t="s">
        <v>36</v>
      </c>
      <c r="I52">
        <v>7</v>
      </c>
      <c r="J52">
        <v>0</v>
      </c>
      <c r="K52">
        <v>7</v>
      </c>
      <c r="O52">
        <f t="shared" si="28"/>
        <v>4322.43</v>
      </c>
      <c r="P52">
        <f t="shared" si="29"/>
        <v>0</v>
      </c>
      <c r="Q52">
        <f t="shared" si="30"/>
        <v>0</v>
      </c>
      <c r="R52">
        <f t="shared" si="31"/>
        <v>0</v>
      </c>
      <c r="S52">
        <f t="shared" si="32"/>
        <v>4322.43</v>
      </c>
      <c r="T52">
        <f t="shared" si="33"/>
        <v>0</v>
      </c>
      <c r="U52">
        <f t="shared" si="34"/>
        <v>7</v>
      </c>
      <c r="V52">
        <f t="shared" si="35"/>
        <v>0</v>
      </c>
      <c r="W52">
        <f t="shared" si="36"/>
        <v>0</v>
      </c>
      <c r="X52">
        <f t="shared" si="37"/>
        <v>3025.7</v>
      </c>
      <c r="Y52">
        <f t="shared" si="38"/>
        <v>432.24</v>
      </c>
      <c r="AA52">
        <v>-1</v>
      </c>
      <c r="AB52">
        <f t="shared" si="39"/>
        <v>617.49</v>
      </c>
      <c r="AC52">
        <f>ROUND((ES52),6)</f>
        <v>0</v>
      </c>
      <c r="AD52">
        <f>ROUND((((ET52)-(EU52))+AE52),6)</f>
        <v>0</v>
      </c>
      <c r="AE52">
        <f>ROUND((EU52),6)</f>
        <v>0</v>
      </c>
      <c r="AF52">
        <f>ROUND((EV52),6)</f>
        <v>617.49</v>
      </c>
      <c r="AG52">
        <f t="shared" si="40"/>
        <v>0</v>
      </c>
      <c r="AH52">
        <f>(EW52)</f>
        <v>1</v>
      </c>
      <c r="AI52">
        <f>(EX52)</f>
        <v>0</v>
      </c>
      <c r="AJ52">
        <f t="shared" si="41"/>
        <v>0</v>
      </c>
      <c r="AK52">
        <v>617.49</v>
      </c>
      <c r="AL52">
        <v>0</v>
      </c>
      <c r="AM52">
        <v>0</v>
      </c>
      <c r="AN52">
        <v>0</v>
      </c>
      <c r="AO52">
        <v>617.49</v>
      </c>
      <c r="AP52">
        <v>0</v>
      </c>
      <c r="AQ52">
        <v>1</v>
      </c>
      <c r="AR52">
        <v>0</v>
      </c>
      <c r="AS52">
        <v>0</v>
      </c>
      <c r="AT52">
        <v>70</v>
      </c>
      <c r="AU52">
        <v>10</v>
      </c>
      <c r="AV52">
        <v>1</v>
      </c>
      <c r="AW52">
        <v>1</v>
      </c>
      <c r="AZ52">
        <v>1</v>
      </c>
      <c r="BA52">
        <v>1</v>
      </c>
      <c r="BB52">
        <v>1</v>
      </c>
      <c r="BC52">
        <v>1</v>
      </c>
      <c r="BD52" t="s">
        <v>3</v>
      </c>
      <c r="BE52" t="s">
        <v>3</v>
      </c>
      <c r="BF52" t="s">
        <v>3</v>
      </c>
      <c r="BG52" t="s">
        <v>3</v>
      </c>
      <c r="BH52">
        <v>0</v>
      </c>
      <c r="BI52">
        <v>4</v>
      </c>
      <c r="BJ52" t="s">
        <v>97</v>
      </c>
      <c r="BM52">
        <v>0</v>
      </c>
      <c r="BN52">
        <v>0</v>
      </c>
      <c r="BO52" t="s">
        <v>3</v>
      </c>
      <c r="BP52">
        <v>0</v>
      </c>
      <c r="BQ52">
        <v>1</v>
      </c>
      <c r="BR52">
        <v>0</v>
      </c>
      <c r="BS52">
        <v>1</v>
      </c>
      <c r="BT52">
        <v>1</v>
      </c>
      <c r="BU52">
        <v>1</v>
      </c>
      <c r="BV52">
        <v>1</v>
      </c>
      <c r="BW52">
        <v>1</v>
      </c>
      <c r="BX52">
        <v>1</v>
      </c>
      <c r="BY52" t="s">
        <v>3</v>
      </c>
      <c r="BZ52">
        <v>70</v>
      </c>
      <c r="CA52">
        <v>10</v>
      </c>
      <c r="CB52" t="s">
        <v>3</v>
      </c>
      <c r="CE52">
        <v>0</v>
      </c>
      <c r="CF52">
        <v>0</v>
      </c>
      <c r="CG52">
        <v>0</v>
      </c>
      <c r="CM52">
        <v>0</v>
      </c>
      <c r="CN52" t="s">
        <v>3</v>
      </c>
      <c r="CO52">
        <v>0</v>
      </c>
      <c r="CP52">
        <f t="shared" si="42"/>
        <v>4322.43</v>
      </c>
      <c r="CQ52">
        <f t="shared" si="43"/>
        <v>0</v>
      </c>
      <c r="CR52">
        <f>((((ET52)*BB52-(EU52)*BS52)+AE52*BS52)*AV52)</f>
        <v>0</v>
      </c>
      <c r="CS52">
        <f t="shared" si="44"/>
        <v>0</v>
      </c>
      <c r="CT52">
        <f t="shared" si="45"/>
        <v>617.49</v>
      </c>
      <c r="CU52">
        <f t="shared" si="46"/>
        <v>0</v>
      </c>
      <c r="CV52">
        <f t="shared" si="47"/>
        <v>1</v>
      </c>
      <c r="CW52">
        <f t="shared" si="48"/>
        <v>0</v>
      </c>
      <c r="CX52">
        <f t="shared" si="49"/>
        <v>0</v>
      </c>
      <c r="CY52">
        <f t="shared" si="50"/>
        <v>3025.7010000000005</v>
      </c>
      <c r="CZ52">
        <f t="shared" si="51"/>
        <v>432.24300000000005</v>
      </c>
      <c r="DC52" t="s">
        <v>3</v>
      </c>
      <c r="DD52" t="s">
        <v>3</v>
      </c>
      <c r="DE52" t="s">
        <v>3</v>
      </c>
      <c r="DF52" t="s">
        <v>3</v>
      </c>
      <c r="DG52" t="s">
        <v>3</v>
      </c>
      <c r="DH52" t="s">
        <v>3</v>
      </c>
      <c r="DI52" t="s">
        <v>3</v>
      </c>
      <c r="DJ52" t="s">
        <v>3</v>
      </c>
      <c r="DK52" t="s">
        <v>3</v>
      </c>
      <c r="DL52" t="s">
        <v>3</v>
      </c>
      <c r="DM52" t="s">
        <v>3</v>
      </c>
      <c r="DN52">
        <v>0</v>
      </c>
      <c r="DO52">
        <v>0</v>
      </c>
      <c r="DP52">
        <v>1</v>
      </c>
      <c r="DQ52">
        <v>1</v>
      </c>
      <c r="DU52">
        <v>16987630</v>
      </c>
      <c r="DV52" t="s">
        <v>36</v>
      </c>
      <c r="DW52" t="s">
        <v>36</v>
      </c>
      <c r="DX52">
        <v>1</v>
      </c>
      <c r="DZ52" t="s">
        <v>3</v>
      </c>
      <c r="EA52" t="s">
        <v>3</v>
      </c>
      <c r="EB52" t="s">
        <v>3</v>
      </c>
      <c r="EC52" t="s">
        <v>3</v>
      </c>
      <c r="EE52">
        <v>1441815344</v>
      </c>
      <c r="EF52">
        <v>1</v>
      </c>
      <c r="EG52" t="s">
        <v>21</v>
      </c>
      <c r="EH52">
        <v>0</v>
      </c>
      <c r="EI52" t="s">
        <v>3</v>
      </c>
      <c r="EJ52">
        <v>4</v>
      </c>
      <c r="EK52">
        <v>0</v>
      </c>
      <c r="EL52" t="s">
        <v>22</v>
      </c>
      <c r="EM52" t="s">
        <v>23</v>
      </c>
      <c r="EO52" t="s">
        <v>3</v>
      </c>
      <c r="EQ52">
        <v>1024</v>
      </c>
      <c r="ER52">
        <v>617.49</v>
      </c>
      <c r="ES52">
        <v>0</v>
      </c>
      <c r="ET52">
        <v>0</v>
      </c>
      <c r="EU52">
        <v>0</v>
      </c>
      <c r="EV52">
        <v>617.49</v>
      </c>
      <c r="EW52">
        <v>1</v>
      </c>
      <c r="EX52">
        <v>0</v>
      </c>
      <c r="EY52">
        <v>0</v>
      </c>
      <c r="FQ52">
        <v>0</v>
      </c>
      <c r="FR52">
        <f t="shared" si="52"/>
        <v>0</v>
      </c>
      <c r="FS52">
        <v>0</v>
      </c>
      <c r="FX52">
        <v>70</v>
      </c>
      <c r="FY52">
        <v>10</v>
      </c>
      <c r="GA52" t="s">
        <v>3</v>
      </c>
      <c r="GD52">
        <v>0</v>
      </c>
      <c r="GF52">
        <v>-1702282500</v>
      </c>
      <c r="GG52">
        <v>2</v>
      </c>
      <c r="GH52">
        <v>1</v>
      </c>
      <c r="GI52">
        <v>-2</v>
      </c>
      <c r="GJ52">
        <v>0</v>
      </c>
      <c r="GK52">
        <f>ROUND(R52*(R12)/100,2)</f>
        <v>0</v>
      </c>
      <c r="GL52">
        <f t="shared" si="53"/>
        <v>0</v>
      </c>
      <c r="GM52">
        <f t="shared" si="54"/>
        <v>7780.37</v>
      </c>
      <c r="GN52">
        <f t="shared" si="55"/>
        <v>0</v>
      </c>
      <c r="GO52">
        <f t="shared" si="56"/>
        <v>0</v>
      </c>
      <c r="GP52">
        <f t="shared" si="57"/>
        <v>7780.37</v>
      </c>
      <c r="GR52">
        <v>0</v>
      </c>
      <c r="GS52">
        <v>3</v>
      </c>
      <c r="GT52">
        <v>0</v>
      </c>
      <c r="GU52" t="s">
        <v>3</v>
      </c>
      <c r="GV52">
        <f t="shared" si="58"/>
        <v>0</v>
      </c>
      <c r="GW52">
        <v>1</v>
      </c>
      <c r="GX52">
        <f t="shared" si="59"/>
        <v>0</v>
      </c>
      <c r="HA52">
        <v>0</v>
      </c>
      <c r="HB52">
        <v>0</v>
      </c>
      <c r="HC52">
        <f t="shared" si="60"/>
        <v>0</v>
      </c>
      <c r="HE52" t="s">
        <v>3</v>
      </c>
      <c r="HF52" t="s">
        <v>3</v>
      </c>
      <c r="HM52" t="s">
        <v>3</v>
      </c>
      <c r="HN52" t="s">
        <v>3</v>
      </c>
      <c r="HO52" t="s">
        <v>3</v>
      </c>
      <c r="HP52" t="s">
        <v>3</v>
      </c>
      <c r="HQ52" t="s">
        <v>3</v>
      </c>
      <c r="IK52">
        <v>0</v>
      </c>
    </row>
    <row r="54" spans="1:245" x14ac:dyDescent="0.2">
      <c r="A54" s="2">
        <v>51</v>
      </c>
      <c r="B54" s="2">
        <f>B28</f>
        <v>1</v>
      </c>
      <c r="C54" s="2">
        <f>A28</f>
        <v>5</v>
      </c>
      <c r="D54" s="2">
        <f>ROW(A28)</f>
        <v>28</v>
      </c>
      <c r="E54" s="2"/>
      <c r="F54" s="2" t="str">
        <f>IF(F28&lt;&gt;"",F28,"")</f>
        <v>Новый подраздел</v>
      </c>
      <c r="G54" s="2" t="str">
        <f>IF(G28&lt;&gt;"",G28,"")</f>
        <v>Система внутреннего водоснабжения и водоотведения</v>
      </c>
      <c r="H54" s="2">
        <v>0</v>
      </c>
      <c r="I54" s="2"/>
      <c r="J54" s="2"/>
      <c r="K54" s="2"/>
      <c r="L54" s="2"/>
      <c r="M54" s="2"/>
      <c r="N54" s="2"/>
      <c r="O54" s="2">
        <f t="shared" ref="O54:T54" si="66">ROUND(AB54,2)</f>
        <v>274314.46000000002</v>
      </c>
      <c r="P54" s="2">
        <f t="shared" si="66"/>
        <v>2484.65</v>
      </c>
      <c r="Q54" s="2">
        <f t="shared" si="66"/>
        <v>26466.2</v>
      </c>
      <c r="R54" s="2">
        <f t="shared" si="66"/>
        <v>16692.28</v>
      </c>
      <c r="S54" s="2">
        <f t="shared" si="66"/>
        <v>245363.61</v>
      </c>
      <c r="T54" s="2">
        <f t="shared" si="66"/>
        <v>0</v>
      </c>
      <c r="U54" s="2">
        <f>AH54</f>
        <v>462.53690000000006</v>
      </c>
      <c r="V54" s="2">
        <f>AI54</f>
        <v>0</v>
      </c>
      <c r="W54" s="2">
        <f>ROUND(AJ54,2)</f>
        <v>0</v>
      </c>
      <c r="X54" s="2">
        <f>ROUND(AK54,2)</f>
        <v>171754.53</v>
      </c>
      <c r="Y54" s="2">
        <f>ROUND(AL54,2)</f>
        <v>24536.37</v>
      </c>
      <c r="Z54" s="2"/>
      <c r="AA54" s="2"/>
      <c r="AB54" s="2">
        <f>ROUND(SUMIF(AA32:AA52,"=1471718271",O32:O52),2)</f>
        <v>274314.46000000002</v>
      </c>
      <c r="AC54" s="2">
        <f>ROUND(SUMIF(AA32:AA52,"=1471718271",P32:P52),2)</f>
        <v>2484.65</v>
      </c>
      <c r="AD54" s="2">
        <f>ROUND(SUMIF(AA32:AA52,"=1471718271",Q32:Q52),2)</f>
        <v>26466.2</v>
      </c>
      <c r="AE54" s="2">
        <f>ROUND(SUMIF(AA32:AA52,"=1471718271",R32:R52),2)</f>
        <v>16692.28</v>
      </c>
      <c r="AF54" s="2">
        <f>ROUND(SUMIF(AA32:AA52,"=1471718271",S32:S52),2)</f>
        <v>245363.61</v>
      </c>
      <c r="AG54" s="2">
        <f>ROUND(SUMIF(AA32:AA52,"=1471718271",T32:T52),2)</f>
        <v>0</v>
      </c>
      <c r="AH54" s="2">
        <f>SUMIF(AA32:AA52,"=1471718271",U32:U52)</f>
        <v>462.53690000000006</v>
      </c>
      <c r="AI54" s="2">
        <f>SUMIF(AA32:AA52,"=1471718271",V32:V52)</f>
        <v>0</v>
      </c>
      <c r="AJ54" s="2">
        <f>ROUND(SUMIF(AA32:AA52,"=1471718271",W32:W52),2)</f>
        <v>0</v>
      </c>
      <c r="AK54" s="2">
        <f>ROUND(SUMIF(AA32:AA52,"=1471718271",X32:X52),2)</f>
        <v>171754.53</v>
      </c>
      <c r="AL54" s="2">
        <f>ROUND(SUMIF(AA32:AA52,"=1471718271",Y32:Y52),2)</f>
        <v>24536.37</v>
      </c>
      <c r="AM54" s="2"/>
      <c r="AN54" s="2"/>
      <c r="AO54" s="2">
        <f t="shared" ref="AO54:BD54" si="67">ROUND(BX54,2)</f>
        <v>0</v>
      </c>
      <c r="AP54" s="2">
        <f t="shared" si="67"/>
        <v>0</v>
      </c>
      <c r="AQ54" s="2">
        <f t="shared" si="67"/>
        <v>0</v>
      </c>
      <c r="AR54" s="2">
        <f t="shared" si="67"/>
        <v>488633.02</v>
      </c>
      <c r="AS54" s="2">
        <f t="shared" si="67"/>
        <v>0</v>
      </c>
      <c r="AT54" s="2">
        <f t="shared" si="67"/>
        <v>0</v>
      </c>
      <c r="AU54" s="2">
        <f t="shared" si="67"/>
        <v>488633.02</v>
      </c>
      <c r="AV54" s="2">
        <f t="shared" si="67"/>
        <v>2484.65</v>
      </c>
      <c r="AW54" s="2">
        <f t="shared" si="67"/>
        <v>2484.65</v>
      </c>
      <c r="AX54" s="2">
        <f t="shared" si="67"/>
        <v>0</v>
      </c>
      <c r="AY54" s="2">
        <f t="shared" si="67"/>
        <v>2484.65</v>
      </c>
      <c r="AZ54" s="2">
        <f t="shared" si="67"/>
        <v>0</v>
      </c>
      <c r="BA54" s="2">
        <f t="shared" si="67"/>
        <v>0</v>
      </c>
      <c r="BB54" s="2">
        <f t="shared" si="67"/>
        <v>0</v>
      </c>
      <c r="BC54" s="2">
        <f t="shared" si="67"/>
        <v>0</v>
      </c>
      <c r="BD54" s="2">
        <f t="shared" si="67"/>
        <v>0</v>
      </c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>
        <f>ROUND(SUMIF(AA32:AA52,"=1471718271",FQ32:FQ52),2)</f>
        <v>0</v>
      </c>
      <c r="BY54" s="2">
        <f>ROUND(SUMIF(AA32:AA52,"=1471718271",FR32:FR52),2)</f>
        <v>0</v>
      </c>
      <c r="BZ54" s="2">
        <f>ROUND(SUMIF(AA32:AA52,"=1471718271",GL32:GL52),2)</f>
        <v>0</v>
      </c>
      <c r="CA54" s="2">
        <f>ROUND(SUMIF(AA32:AA52,"=1471718271",GM32:GM52),2)</f>
        <v>488633.02</v>
      </c>
      <c r="CB54" s="2">
        <f>ROUND(SUMIF(AA32:AA52,"=1471718271",GN32:GN52),2)</f>
        <v>0</v>
      </c>
      <c r="CC54" s="2">
        <f>ROUND(SUMIF(AA32:AA52,"=1471718271",GO32:GO52),2)</f>
        <v>0</v>
      </c>
      <c r="CD54" s="2">
        <f>ROUND(SUMIF(AA32:AA52,"=1471718271",GP32:GP52),2)</f>
        <v>488633.02</v>
      </c>
      <c r="CE54" s="2">
        <f>AC54-BX54</f>
        <v>2484.65</v>
      </c>
      <c r="CF54" s="2">
        <f>AC54-BY54</f>
        <v>2484.65</v>
      </c>
      <c r="CG54" s="2">
        <f>BX54-BZ54</f>
        <v>0</v>
      </c>
      <c r="CH54" s="2">
        <f>AC54-BX54-BY54+BZ54</f>
        <v>2484.65</v>
      </c>
      <c r="CI54" s="2">
        <f>BY54-BZ54</f>
        <v>0</v>
      </c>
      <c r="CJ54" s="2">
        <f>ROUND(SUMIF(AA32:AA52,"=1471718271",GX32:GX52),2)</f>
        <v>0</v>
      </c>
      <c r="CK54" s="2">
        <f>ROUND(SUMIF(AA32:AA52,"=1471718271",GY32:GY52),2)</f>
        <v>0</v>
      </c>
      <c r="CL54" s="2">
        <f>ROUND(SUMIF(AA32:AA52,"=1471718271",GZ32:GZ52),2)</f>
        <v>0</v>
      </c>
      <c r="CM54" s="2">
        <f>ROUND(SUMIF(AA32:AA52,"=1471718271",HD32:HD52),2)</f>
        <v>0</v>
      </c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  <c r="GB54" s="3"/>
      <c r="GC54" s="3"/>
      <c r="GD54" s="3"/>
      <c r="GE54" s="3"/>
      <c r="GF54" s="3"/>
      <c r="GG54" s="3"/>
      <c r="GH54" s="3"/>
      <c r="GI54" s="3"/>
      <c r="GJ54" s="3"/>
      <c r="GK54" s="3"/>
      <c r="GL54" s="3"/>
      <c r="GM54" s="3"/>
      <c r="GN54" s="3"/>
      <c r="GO54" s="3"/>
      <c r="GP54" s="3"/>
      <c r="GQ54" s="3"/>
      <c r="GR54" s="3"/>
      <c r="GS54" s="3"/>
      <c r="GT54" s="3"/>
      <c r="GU54" s="3"/>
      <c r="GV54" s="3"/>
      <c r="GW54" s="3"/>
      <c r="GX54" s="3">
        <v>0</v>
      </c>
    </row>
    <row r="56" spans="1:245" x14ac:dyDescent="0.2">
      <c r="A56" s="4">
        <v>50</v>
      </c>
      <c r="B56" s="4">
        <v>0</v>
      </c>
      <c r="C56" s="4">
        <v>0</v>
      </c>
      <c r="D56" s="4">
        <v>1</v>
      </c>
      <c r="E56" s="4">
        <v>201</v>
      </c>
      <c r="F56" s="4">
        <f>ROUND(Source!O54,O56)</f>
        <v>274314.46000000002</v>
      </c>
      <c r="G56" s="4" t="s">
        <v>98</v>
      </c>
      <c r="H56" s="4" t="s">
        <v>99</v>
      </c>
      <c r="I56" s="4"/>
      <c r="J56" s="4"/>
      <c r="K56" s="4">
        <v>201</v>
      </c>
      <c r="L56" s="4">
        <v>1</v>
      </c>
      <c r="M56" s="4">
        <v>3</v>
      </c>
      <c r="N56" s="4" t="s">
        <v>3</v>
      </c>
      <c r="O56" s="4">
        <v>2</v>
      </c>
      <c r="P56" s="4"/>
      <c r="Q56" s="4"/>
      <c r="R56" s="4"/>
      <c r="S56" s="4"/>
      <c r="T56" s="4"/>
      <c r="U56" s="4"/>
      <c r="V56" s="4"/>
      <c r="W56" s="4">
        <v>76592.7</v>
      </c>
      <c r="X56" s="4">
        <v>1</v>
      </c>
      <c r="Y56" s="4">
        <v>76592.7</v>
      </c>
      <c r="Z56" s="4"/>
      <c r="AA56" s="4"/>
      <c r="AB56" s="4"/>
    </row>
    <row r="57" spans="1:245" x14ac:dyDescent="0.2">
      <c r="A57" s="4">
        <v>50</v>
      </c>
      <c r="B57" s="4">
        <v>0</v>
      </c>
      <c r="C57" s="4">
        <v>0</v>
      </c>
      <c r="D57" s="4">
        <v>1</v>
      </c>
      <c r="E57" s="4">
        <v>202</v>
      </c>
      <c r="F57" s="4">
        <f>ROUND(Source!P54,O57)</f>
        <v>2484.65</v>
      </c>
      <c r="G57" s="4" t="s">
        <v>100</v>
      </c>
      <c r="H57" s="4" t="s">
        <v>101</v>
      </c>
      <c r="I57" s="4"/>
      <c r="J57" s="4"/>
      <c r="K57" s="4">
        <v>202</v>
      </c>
      <c r="L57" s="4">
        <v>2</v>
      </c>
      <c r="M57" s="4">
        <v>3</v>
      </c>
      <c r="N57" s="4" t="s">
        <v>3</v>
      </c>
      <c r="O57" s="4">
        <v>2</v>
      </c>
      <c r="P57" s="4"/>
      <c r="Q57" s="4"/>
      <c r="R57" s="4"/>
      <c r="S57" s="4"/>
      <c r="T57" s="4"/>
      <c r="U57" s="4"/>
      <c r="V57" s="4"/>
      <c r="W57" s="4">
        <v>682</v>
      </c>
      <c r="X57" s="4">
        <v>1</v>
      </c>
      <c r="Y57" s="4">
        <v>682</v>
      </c>
      <c r="Z57" s="4"/>
      <c r="AA57" s="4"/>
      <c r="AB57" s="4"/>
    </row>
    <row r="58" spans="1:245" x14ac:dyDescent="0.2">
      <c r="A58" s="4">
        <v>50</v>
      </c>
      <c r="B58" s="4">
        <v>0</v>
      </c>
      <c r="C58" s="4">
        <v>0</v>
      </c>
      <c r="D58" s="4">
        <v>1</v>
      </c>
      <c r="E58" s="4">
        <v>222</v>
      </c>
      <c r="F58" s="4">
        <f>ROUND(Source!AO54,O58)</f>
        <v>0</v>
      </c>
      <c r="G58" s="4" t="s">
        <v>102</v>
      </c>
      <c r="H58" s="4" t="s">
        <v>103</v>
      </c>
      <c r="I58" s="4"/>
      <c r="J58" s="4"/>
      <c r="K58" s="4">
        <v>222</v>
      </c>
      <c r="L58" s="4">
        <v>3</v>
      </c>
      <c r="M58" s="4">
        <v>3</v>
      </c>
      <c r="N58" s="4" t="s">
        <v>3</v>
      </c>
      <c r="O58" s="4">
        <v>2</v>
      </c>
      <c r="P58" s="4"/>
      <c r="Q58" s="4"/>
      <c r="R58" s="4"/>
      <c r="S58" s="4"/>
      <c r="T58" s="4"/>
      <c r="U58" s="4"/>
      <c r="V58" s="4"/>
      <c r="W58" s="4">
        <v>0</v>
      </c>
      <c r="X58" s="4">
        <v>1</v>
      </c>
      <c r="Y58" s="4">
        <v>0</v>
      </c>
      <c r="Z58" s="4"/>
      <c r="AA58" s="4"/>
      <c r="AB58" s="4"/>
    </row>
    <row r="59" spans="1:245" x14ac:dyDescent="0.2">
      <c r="A59" s="4">
        <v>50</v>
      </c>
      <c r="B59" s="4">
        <v>0</v>
      </c>
      <c r="C59" s="4">
        <v>0</v>
      </c>
      <c r="D59" s="4">
        <v>1</v>
      </c>
      <c r="E59" s="4">
        <v>225</v>
      </c>
      <c r="F59" s="4">
        <f>ROUND(Source!AV54,O59)</f>
        <v>2484.65</v>
      </c>
      <c r="G59" s="4" t="s">
        <v>104</v>
      </c>
      <c r="H59" s="4" t="s">
        <v>105</v>
      </c>
      <c r="I59" s="4"/>
      <c r="J59" s="4"/>
      <c r="K59" s="4">
        <v>225</v>
      </c>
      <c r="L59" s="4">
        <v>4</v>
      </c>
      <c r="M59" s="4">
        <v>3</v>
      </c>
      <c r="N59" s="4" t="s">
        <v>3</v>
      </c>
      <c r="O59" s="4">
        <v>2</v>
      </c>
      <c r="P59" s="4"/>
      <c r="Q59" s="4"/>
      <c r="R59" s="4"/>
      <c r="S59" s="4"/>
      <c r="T59" s="4"/>
      <c r="U59" s="4"/>
      <c r="V59" s="4"/>
      <c r="W59" s="4">
        <v>682</v>
      </c>
      <c r="X59" s="4">
        <v>1</v>
      </c>
      <c r="Y59" s="4">
        <v>682</v>
      </c>
      <c r="Z59" s="4"/>
      <c r="AA59" s="4"/>
      <c r="AB59" s="4"/>
    </row>
    <row r="60" spans="1:245" x14ac:dyDescent="0.2">
      <c r="A60" s="4">
        <v>50</v>
      </c>
      <c r="B60" s="4">
        <v>0</v>
      </c>
      <c r="C60" s="4">
        <v>0</v>
      </c>
      <c r="D60" s="4">
        <v>1</v>
      </c>
      <c r="E60" s="4">
        <v>226</v>
      </c>
      <c r="F60" s="4">
        <f>ROUND(Source!AW54,O60)</f>
        <v>2484.65</v>
      </c>
      <c r="G60" s="4" t="s">
        <v>106</v>
      </c>
      <c r="H60" s="4" t="s">
        <v>107</v>
      </c>
      <c r="I60" s="4"/>
      <c r="J60" s="4"/>
      <c r="K60" s="4">
        <v>226</v>
      </c>
      <c r="L60" s="4">
        <v>5</v>
      </c>
      <c r="M60" s="4">
        <v>3</v>
      </c>
      <c r="N60" s="4" t="s">
        <v>3</v>
      </c>
      <c r="O60" s="4">
        <v>2</v>
      </c>
      <c r="P60" s="4"/>
      <c r="Q60" s="4"/>
      <c r="R60" s="4"/>
      <c r="S60" s="4"/>
      <c r="T60" s="4"/>
      <c r="U60" s="4"/>
      <c r="V60" s="4"/>
      <c r="W60" s="4">
        <v>682</v>
      </c>
      <c r="X60" s="4">
        <v>1</v>
      </c>
      <c r="Y60" s="4">
        <v>682</v>
      </c>
      <c r="Z60" s="4"/>
      <c r="AA60" s="4"/>
      <c r="AB60" s="4"/>
    </row>
    <row r="61" spans="1:245" x14ac:dyDescent="0.2">
      <c r="A61" s="4">
        <v>50</v>
      </c>
      <c r="B61" s="4">
        <v>0</v>
      </c>
      <c r="C61" s="4">
        <v>0</v>
      </c>
      <c r="D61" s="4">
        <v>1</v>
      </c>
      <c r="E61" s="4">
        <v>227</v>
      </c>
      <c r="F61" s="4">
        <f>ROUND(Source!AX54,O61)</f>
        <v>0</v>
      </c>
      <c r="G61" s="4" t="s">
        <v>108</v>
      </c>
      <c r="H61" s="4" t="s">
        <v>109</v>
      </c>
      <c r="I61" s="4"/>
      <c r="J61" s="4"/>
      <c r="K61" s="4">
        <v>227</v>
      </c>
      <c r="L61" s="4">
        <v>6</v>
      </c>
      <c r="M61" s="4">
        <v>3</v>
      </c>
      <c r="N61" s="4" t="s">
        <v>3</v>
      </c>
      <c r="O61" s="4">
        <v>2</v>
      </c>
      <c r="P61" s="4"/>
      <c r="Q61" s="4"/>
      <c r="R61" s="4"/>
      <c r="S61" s="4"/>
      <c r="T61" s="4"/>
      <c r="U61" s="4"/>
      <c r="V61" s="4"/>
      <c r="W61" s="4">
        <v>0</v>
      </c>
      <c r="X61" s="4">
        <v>1</v>
      </c>
      <c r="Y61" s="4">
        <v>0</v>
      </c>
      <c r="Z61" s="4"/>
      <c r="AA61" s="4"/>
      <c r="AB61" s="4"/>
    </row>
    <row r="62" spans="1:245" x14ac:dyDescent="0.2">
      <c r="A62" s="4">
        <v>50</v>
      </c>
      <c r="B62" s="4">
        <v>0</v>
      </c>
      <c r="C62" s="4">
        <v>0</v>
      </c>
      <c r="D62" s="4">
        <v>1</v>
      </c>
      <c r="E62" s="4">
        <v>228</v>
      </c>
      <c r="F62" s="4">
        <f>ROUND(Source!AY54,O62)</f>
        <v>2484.65</v>
      </c>
      <c r="G62" s="4" t="s">
        <v>110</v>
      </c>
      <c r="H62" s="4" t="s">
        <v>111</v>
      </c>
      <c r="I62" s="4"/>
      <c r="J62" s="4"/>
      <c r="K62" s="4">
        <v>228</v>
      </c>
      <c r="L62" s="4">
        <v>7</v>
      </c>
      <c r="M62" s="4">
        <v>3</v>
      </c>
      <c r="N62" s="4" t="s">
        <v>3</v>
      </c>
      <c r="O62" s="4">
        <v>2</v>
      </c>
      <c r="P62" s="4"/>
      <c r="Q62" s="4"/>
      <c r="R62" s="4"/>
      <c r="S62" s="4"/>
      <c r="T62" s="4"/>
      <c r="U62" s="4"/>
      <c r="V62" s="4"/>
      <c r="W62" s="4">
        <v>682</v>
      </c>
      <c r="X62" s="4">
        <v>1</v>
      </c>
      <c r="Y62" s="4">
        <v>682</v>
      </c>
      <c r="Z62" s="4"/>
      <c r="AA62" s="4"/>
      <c r="AB62" s="4"/>
    </row>
    <row r="63" spans="1:245" x14ac:dyDescent="0.2">
      <c r="A63" s="4">
        <v>50</v>
      </c>
      <c r="B63" s="4">
        <v>0</v>
      </c>
      <c r="C63" s="4">
        <v>0</v>
      </c>
      <c r="D63" s="4">
        <v>1</v>
      </c>
      <c r="E63" s="4">
        <v>216</v>
      </c>
      <c r="F63" s="4">
        <f>ROUND(Source!AP54,O63)</f>
        <v>0</v>
      </c>
      <c r="G63" s="4" t="s">
        <v>112</v>
      </c>
      <c r="H63" s="4" t="s">
        <v>113</v>
      </c>
      <c r="I63" s="4"/>
      <c r="J63" s="4"/>
      <c r="K63" s="4">
        <v>216</v>
      </c>
      <c r="L63" s="4">
        <v>8</v>
      </c>
      <c r="M63" s="4">
        <v>3</v>
      </c>
      <c r="N63" s="4" t="s">
        <v>3</v>
      </c>
      <c r="O63" s="4">
        <v>2</v>
      </c>
      <c r="P63" s="4"/>
      <c r="Q63" s="4"/>
      <c r="R63" s="4"/>
      <c r="S63" s="4"/>
      <c r="T63" s="4"/>
      <c r="U63" s="4"/>
      <c r="V63" s="4"/>
      <c r="W63" s="4">
        <v>0</v>
      </c>
      <c r="X63" s="4">
        <v>1</v>
      </c>
      <c r="Y63" s="4">
        <v>0</v>
      </c>
      <c r="Z63" s="4"/>
      <c r="AA63" s="4"/>
      <c r="AB63" s="4"/>
    </row>
    <row r="64" spans="1:245" x14ac:dyDescent="0.2">
      <c r="A64" s="4">
        <v>50</v>
      </c>
      <c r="B64" s="4">
        <v>0</v>
      </c>
      <c r="C64" s="4">
        <v>0</v>
      </c>
      <c r="D64" s="4">
        <v>1</v>
      </c>
      <c r="E64" s="4">
        <v>223</v>
      </c>
      <c r="F64" s="4">
        <f>ROUND(Source!AQ54,O64)</f>
        <v>0</v>
      </c>
      <c r="G64" s="4" t="s">
        <v>114</v>
      </c>
      <c r="H64" s="4" t="s">
        <v>115</v>
      </c>
      <c r="I64" s="4"/>
      <c r="J64" s="4"/>
      <c r="K64" s="4">
        <v>223</v>
      </c>
      <c r="L64" s="4">
        <v>9</v>
      </c>
      <c r="M64" s="4">
        <v>3</v>
      </c>
      <c r="N64" s="4" t="s">
        <v>3</v>
      </c>
      <c r="O64" s="4">
        <v>2</v>
      </c>
      <c r="P64" s="4"/>
      <c r="Q64" s="4"/>
      <c r="R64" s="4"/>
      <c r="S64" s="4"/>
      <c r="T64" s="4"/>
      <c r="U64" s="4"/>
      <c r="V64" s="4"/>
      <c r="W64" s="4">
        <v>0</v>
      </c>
      <c r="X64" s="4">
        <v>1</v>
      </c>
      <c r="Y64" s="4">
        <v>0</v>
      </c>
      <c r="Z64" s="4"/>
      <c r="AA64" s="4"/>
      <c r="AB64" s="4"/>
    </row>
    <row r="65" spans="1:28" x14ac:dyDescent="0.2">
      <c r="A65" s="4">
        <v>50</v>
      </c>
      <c r="B65" s="4">
        <v>0</v>
      </c>
      <c r="C65" s="4">
        <v>0</v>
      </c>
      <c r="D65" s="4">
        <v>1</v>
      </c>
      <c r="E65" s="4">
        <v>229</v>
      </c>
      <c r="F65" s="4">
        <f>ROUND(Source!AZ54,O65)</f>
        <v>0</v>
      </c>
      <c r="G65" s="4" t="s">
        <v>116</v>
      </c>
      <c r="H65" s="4" t="s">
        <v>117</v>
      </c>
      <c r="I65" s="4"/>
      <c r="J65" s="4"/>
      <c r="K65" s="4">
        <v>229</v>
      </c>
      <c r="L65" s="4">
        <v>10</v>
      </c>
      <c r="M65" s="4">
        <v>3</v>
      </c>
      <c r="N65" s="4" t="s">
        <v>3</v>
      </c>
      <c r="O65" s="4">
        <v>2</v>
      </c>
      <c r="P65" s="4"/>
      <c r="Q65" s="4"/>
      <c r="R65" s="4"/>
      <c r="S65" s="4"/>
      <c r="T65" s="4"/>
      <c r="U65" s="4"/>
      <c r="V65" s="4"/>
      <c r="W65" s="4">
        <v>0</v>
      </c>
      <c r="X65" s="4">
        <v>1</v>
      </c>
      <c r="Y65" s="4">
        <v>0</v>
      </c>
      <c r="Z65" s="4"/>
      <c r="AA65" s="4"/>
      <c r="AB65" s="4"/>
    </row>
    <row r="66" spans="1:28" x14ac:dyDescent="0.2">
      <c r="A66" s="4">
        <v>50</v>
      </c>
      <c r="B66" s="4">
        <v>0</v>
      </c>
      <c r="C66" s="4">
        <v>0</v>
      </c>
      <c r="D66" s="4">
        <v>1</v>
      </c>
      <c r="E66" s="4">
        <v>203</v>
      </c>
      <c r="F66" s="4">
        <f>ROUND(Source!Q54,O66)</f>
        <v>26466.2</v>
      </c>
      <c r="G66" s="4" t="s">
        <v>118</v>
      </c>
      <c r="H66" s="4" t="s">
        <v>119</v>
      </c>
      <c r="I66" s="4"/>
      <c r="J66" s="4"/>
      <c r="K66" s="4">
        <v>203</v>
      </c>
      <c r="L66" s="4">
        <v>11</v>
      </c>
      <c r="M66" s="4">
        <v>3</v>
      </c>
      <c r="N66" s="4" t="s">
        <v>3</v>
      </c>
      <c r="O66" s="4">
        <v>2</v>
      </c>
      <c r="P66" s="4"/>
      <c r="Q66" s="4"/>
      <c r="R66" s="4"/>
      <c r="S66" s="4"/>
      <c r="T66" s="4"/>
      <c r="U66" s="4"/>
      <c r="V66" s="4"/>
      <c r="W66" s="4">
        <v>4378.08</v>
      </c>
      <c r="X66" s="4">
        <v>1</v>
      </c>
      <c r="Y66" s="4">
        <v>4378.08</v>
      </c>
      <c r="Z66" s="4"/>
      <c r="AA66" s="4"/>
      <c r="AB66" s="4"/>
    </row>
    <row r="67" spans="1:28" x14ac:dyDescent="0.2">
      <c r="A67" s="4">
        <v>50</v>
      </c>
      <c r="B67" s="4">
        <v>0</v>
      </c>
      <c r="C67" s="4">
        <v>0</v>
      </c>
      <c r="D67" s="4">
        <v>1</v>
      </c>
      <c r="E67" s="4">
        <v>231</v>
      </c>
      <c r="F67" s="4">
        <f>ROUND(Source!BB54,O67)</f>
        <v>0</v>
      </c>
      <c r="G67" s="4" t="s">
        <v>120</v>
      </c>
      <c r="H67" s="4" t="s">
        <v>121</v>
      </c>
      <c r="I67" s="4"/>
      <c r="J67" s="4"/>
      <c r="K67" s="4">
        <v>231</v>
      </c>
      <c r="L67" s="4">
        <v>12</v>
      </c>
      <c r="M67" s="4">
        <v>3</v>
      </c>
      <c r="N67" s="4" t="s">
        <v>3</v>
      </c>
      <c r="O67" s="4">
        <v>2</v>
      </c>
      <c r="P67" s="4"/>
      <c r="Q67" s="4"/>
      <c r="R67" s="4"/>
      <c r="S67" s="4"/>
      <c r="T67" s="4"/>
      <c r="U67" s="4"/>
      <c r="V67" s="4"/>
      <c r="W67" s="4">
        <v>0</v>
      </c>
      <c r="X67" s="4">
        <v>1</v>
      </c>
      <c r="Y67" s="4">
        <v>0</v>
      </c>
      <c r="Z67" s="4"/>
      <c r="AA67" s="4"/>
      <c r="AB67" s="4"/>
    </row>
    <row r="68" spans="1:28" x14ac:dyDescent="0.2">
      <c r="A68" s="4">
        <v>50</v>
      </c>
      <c r="B68" s="4">
        <v>0</v>
      </c>
      <c r="C68" s="4">
        <v>0</v>
      </c>
      <c r="D68" s="4">
        <v>1</v>
      </c>
      <c r="E68" s="4">
        <v>204</v>
      </c>
      <c r="F68" s="4">
        <f>ROUND(Source!R54,O68)</f>
        <v>16692.28</v>
      </c>
      <c r="G68" s="4" t="s">
        <v>122</v>
      </c>
      <c r="H68" s="4" t="s">
        <v>123</v>
      </c>
      <c r="I68" s="4"/>
      <c r="J68" s="4"/>
      <c r="K68" s="4">
        <v>204</v>
      </c>
      <c r="L68" s="4">
        <v>13</v>
      </c>
      <c r="M68" s="4">
        <v>3</v>
      </c>
      <c r="N68" s="4" t="s">
        <v>3</v>
      </c>
      <c r="O68" s="4">
        <v>2</v>
      </c>
      <c r="P68" s="4"/>
      <c r="Q68" s="4"/>
      <c r="R68" s="4"/>
      <c r="S68" s="4"/>
      <c r="T68" s="4"/>
      <c r="U68" s="4"/>
      <c r="V68" s="4"/>
      <c r="W68" s="4">
        <v>2775.92</v>
      </c>
      <c r="X68" s="4">
        <v>1</v>
      </c>
      <c r="Y68" s="4">
        <v>2775.92</v>
      </c>
      <c r="Z68" s="4"/>
      <c r="AA68" s="4"/>
      <c r="AB68" s="4"/>
    </row>
    <row r="69" spans="1:28" x14ac:dyDescent="0.2">
      <c r="A69" s="4">
        <v>50</v>
      </c>
      <c r="B69" s="4">
        <v>0</v>
      </c>
      <c r="C69" s="4">
        <v>0</v>
      </c>
      <c r="D69" s="4">
        <v>1</v>
      </c>
      <c r="E69" s="4">
        <v>205</v>
      </c>
      <c r="F69" s="4">
        <f>ROUND(Source!S54,O69)</f>
        <v>245363.61</v>
      </c>
      <c r="G69" s="4" t="s">
        <v>124</v>
      </c>
      <c r="H69" s="4" t="s">
        <v>125</v>
      </c>
      <c r="I69" s="4"/>
      <c r="J69" s="4"/>
      <c r="K69" s="4">
        <v>205</v>
      </c>
      <c r="L69" s="4">
        <v>14</v>
      </c>
      <c r="M69" s="4">
        <v>3</v>
      </c>
      <c r="N69" s="4" t="s">
        <v>3</v>
      </c>
      <c r="O69" s="4">
        <v>2</v>
      </c>
      <c r="P69" s="4"/>
      <c r="Q69" s="4"/>
      <c r="R69" s="4"/>
      <c r="S69" s="4"/>
      <c r="T69" s="4"/>
      <c r="U69" s="4"/>
      <c r="V69" s="4"/>
      <c r="W69" s="4">
        <v>71532.62</v>
      </c>
      <c r="X69" s="4">
        <v>1</v>
      </c>
      <c r="Y69" s="4">
        <v>71532.62</v>
      </c>
      <c r="Z69" s="4"/>
      <c r="AA69" s="4"/>
      <c r="AB69" s="4"/>
    </row>
    <row r="70" spans="1:28" x14ac:dyDescent="0.2">
      <c r="A70" s="4">
        <v>50</v>
      </c>
      <c r="B70" s="4">
        <v>0</v>
      </c>
      <c r="C70" s="4">
        <v>0</v>
      </c>
      <c r="D70" s="4">
        <v>1</v>
      </c>
      <c r="E70" s="4">
        <v>232</v>
      </c>
      <c r="F70" s="4">
        <f>ROUND(Source!BC54,O70)</f>
        <v>0</v>
      </c>
      <c r="G70" s="4" t="s">
        <v>126</v>
      </c>
      <c r="H70" s="4" t="s">
        <v>127</v>
      </c>
      <c r="I70" s="4"/>
      <c r="J70" s="4"/>
      <c r="K70" s="4">
        <v>232</v>
      </c>
      <c r="L70" s="4">
        <v>15</v>
      </c>
      <c r="M70" s="4">
        <v>3</v>
      </c>
      <c r="N70" s="4" t="s">
        <v>3</v>
      </c>
      <c r="O70" s="4">
        <v>2</v>
      </c>
      <c r="P70" s="4"/>
      <c r="Q70" s="4"/>
      <c r="R70" s="4"/>
      <c r="S70" s="4"/>
      <c r="T70" s="4"/>
      <c r="U70" s="4"/>
      <c r="V70" s="4"/>
      <c r="W70" s="4">
        <v>0</v>
      </c>
      <c r="X70" s="4">
        <v>1</v>
      </c>
      <c r="Y70" s="4">
        <v>0</v>
      </c>
      <c r="Z70" s="4"/>
      <c r="AA70" s="4"/>
      <c r="AB70" s="4"/>
    </row>
    <row r="71" spans="1:28" x14ac:dyDescent="0.2">
      <c r="A71" s="4">
        <v>50</v>
      </c>
      <c r="B71" s="4">
        <v>0</v>
      </c>
      <c r="C71" s="4">
        <v>0</v>
      </c>
      <c r="D71" s="4">
        <v>1</v>
      </c>
      <c r="E71" s="4">
        <v>214</v>
      </c>
      <c r="F71" s="4">
        <f>ROUND(Source!AS54,O71)</f>
        <v>0</v>
      </c>
      <c r="G71" s="4" t="s">
        <v>128</v>
      </c>
      <c r="H71" s="4" t="s">
        <v>129</v>
      </c>
      <c r="I71" s="4"/>
      <c r="J71" s="4"/>
      <c r="K71" s="4">
        <v>214</v>
      </c>
      <c r="L71" s="4">
        <v>16</v>
      </c>
      <c r="M71" s="4">
        <v>3</v>
      </c>
      <c r="N71" s="4" t="s">
        <v>3</v>
      </c>
      <c r="O71" s="4">
        <v>2</v>
      </c>
      <c r="P71" s="4"/>
      <c r="Q71" s="4"/>
      <c r="R71" s="4"/>
      <c r="S71" s="4"/>
      <c r="T71" s="4"/>
      <c r="U71" s="4"/>
      <c r="V71" s="4"/>
      <c r="W71" s="4">
        <v>0</v>
      </c>
      <c r="X71" s="4">
        <v>1</v>
      </c>
      <c r="Y71" s="4">
        <v>0</v>
      </c>
      <c r="Z71" s="4"/>
      <c r="AA71" s="4"/>
      <c r="AB71" s="4"/>
    </row>
    <row r="72" spans="1:28" x14ac:dyDescent="0.2">
      <c r="A72" s="4">
        <v>50</v>
      </c>
      <c r="B72" s="4">
        <v>0</v>
      </c>
      <c r="C72" s="4">
        <v>0</v>
      </c>
      <c r="D72" s="4">
        <v>1</v>
      </c>
      <c r="E72" s="4">
        <v>215</v>
      </c>
      <c r="F72" s="4">
        <f>ROUND(Source!AT54,O72)</f>
        <v>0</v>
      </c>
      <c r="G72" s="4" t="s">
        <v>130</v>
      </c>
      <c r="H72" s="4" t="s">
        <v>131</v>
      </c>
      <c r="I72" s="4"/>
      <c r="J72" s="4"/>
      <c r="K72" s="4">
        <v>215</v>
      </c>
      <c r="L72" s="4">
        <v>17</v>
      </c>
      <c r="M72" s="4">
        <v>3</v>
      </c>
      <c r="N72" s="4" t="s">
        <v>3</v>
      </c>
      <c r="O72" s="4">
        <v>2</v>
      </c>
      <c r="P72" s="4"/>
      <c r="Q72" s="4"/>
      <c r="R72" s="4"/>
      <c r="S72" s="4"/>
      <c r="T72" s="4"/>
      <c r="U72" s="4"/>
      <c r="V72" s="4"/>
      <c r="W72" s="4">
        <v>0</v>
      </c>
      <c r="X72" s="4">
        <v>1</v>
      </c>
      <c r="Y72" s="4">
        <v>0</v>
      </c>
      <c r="Z72" s="4"/>
      <c r="AA72" s="4"/>
      <c r="AB72" s="4"/>
    </row>
    <row r="73" spans="1:28" x14ac:dyDescent="0.2">
      <c r="A73" s="4">
        <v>50</v>
      </c>
      <c r="B73" s="4">
        <v>0</v>
      </c>
      <c r="C73" s="4">
        <v>0</v>
      </c>
      <c r="D73" s="4">
        <v>1</v>
      </c>
      <c r="E73" s="4">
        <v>217</v>
      </c>
      <c r="F73" s="4">
        <f>ROUND(Source!AU54,O73)</f>
        <v>488633.02</v>
      </c>
      <c r="G73" s="4" t="s">
        <v>132</v>
      </c>
      <c r="H73" s="4" t="s">
        <v>133</v>
      </c>
      <c r="I73" s="4"/>
      <c r="J73" s="4"/>
      <c r="K73" s="4">
        <v>217</v>
      </c>
      <c r="L73" s="4">
        <v>18</v>
      </c>
      <c r="M73" s="4">
        <v>3</v>
      </c>
      <c r="N73" s="4" t="s">
        <v>3</v>
      </c>
      <c r="O73" s="4">
        <v>2</v>
      </c>
      <c r="P73" s="4"/>
      <c r="Q73" s="4"/>
      <c r="R73" s="4"/>
      <c r="S73" s="4"/>
      <c r="T73" s="4"/>
      <c r="U73" s="4"/>
      <c r="V73" s="4"/>
      <c r="W73" s="4">
        <v>136816.79999999999</v>
      </c>
      <c r="X73" s="4">
        <v>1</v>
      </c>
      <c r="Y73" s="4">
        <v>136816.79999999999</v>
      </c>
      <c r="Z73" s="4"/>
      <c r="AA73" s="4"/>
      <c r="AB73" s="4"/>
    </row>
    <row r="74" spans="1:28" x14ac:dyDescent="0.2">
      <c r="A74" s="4">
        <v>50</v>
      </c>
      <c r="B74" s="4">
        <v>0</v>
      </c>
      <c r="C74" s="4">
        <v>0</v>
      </c>
      <c r="D74" s="4">
        <v>1</v>
      </c>
      <c r="E74" s="4">
        <v>230</v>
      </c>
      <c r="F74" s="4">
        <f>ROUND(Source!BA54,O74)</f>
        <v>0</v>
      </c>
      <c r="G74" s="4" t="s">
        <v>134</v>
      </c>
      <c r="H74" s="4" t="s">
        <v>135</v>
      </c>
      <c r="I74" s="4"/>
      <c r="J74" s="4"/>
      <c r="K74" s="4">
        <v>230</v>
      </c>
      <c r="L74" s="4">
        <v>19</v>
      </c>
      <c r="M74" s="4">
        <v>3</v>
      </c>
      <c r="N74" s="4" t="s">
        <v>3</v>
      </c>
      <c r="O74" s="4">
        <v>2</v>
      </c>
      <c r="P74" s="4"/>
      <c r="Q74" s="4"/>
      <c r="R74" s="4"/>
      <c r="S74" s="4"/>
      <c r="T74" s="4"/>
      <c r="U74" s="4"/>
      <c r="V74" s="4"/>
      <c r="W74" s="4">
        <v>0</v>
      </c>
      <c r="X74" s="4">
        <v>1</v>
      </c>
      <c r="Y74" s="4">
        <v>0</v>
      </c>
      <c r="Z74" s="4"/>
      <c r="AA74" s="4"/>
      <c r="AB74" s="4"/>
    </row>
    <row r="75" spans="1:28" x14ac:dyDescent="0.2">
      <c r="A75" s="4">
        <v>50</v>
      </c>
      <c r="B75" s="4">
        <v>0</v>
      </c>
      <c r="C75" s="4">
        <v>0</v>
      </c>
      <c r="D75" s="4">
        <v>1</v>
      </c>
      <c r="E75" s="4">
        <v>206</v>
      </c>
      <c r="F75" s="4">
        <f>ROUND(Source!T54,O75)</f>
        <v>0</v>
      </c>
      <c r="G75" s="4" t="s">
        <v>136</v>
      </c>
      <c r="H75" s="4" t="s">
        <v>137</v>
      </c>
      <c r="I75" s="4"/>
      <c r="J75" s="4"/>
      <c r="K75" s="4">
        <v>206</v>
      </c>
      <c r="L75" s="4">
        <v>20</v>
      </c>
      <c r="M75" s="4">
        <v>3</v>
      </c>
      <c r="N75" s="4" t="s">
        <v>3</v>
      </c>
      <c r="O75" s="4">
        <v>2</v>
      </c>
      <c r="P75" s="4"/>
      <c r="Q75" s="4"/>
      <c r="R75" s="4"/>
      <c r="S75" s="4"/>
      <c r="T75" s="4"/>
      <c r="U75" s="4"/>
      <c r="V75" s="4"/>
      <c r="W75" s="4">
        <v>0</v>
      </c>
      <c r="X75" s="4">
        <v>1</v>
      </c>
      <c r="Y75" s="4">
        <v>0</v>
      </c>
      <c r="Z75" s="4"/>
      <c r="AA75" s="4"/>
      <c r="AB75" s="4"/>
    </row>
    <row r="76" spans="1:28" x14ac:dyDescent="0.2">
      <c r="A76" s="4">
        <v>50</v>
      </c>
      <c r="B76" s="4">
        <v>0</v>
      </c>
      <c r="C76" s="4">
        <v>0</v>
      </c>
      <c r="D76" s="4">
        <v>1</v>
      </c>
      <c r="E76" s="4">
        <v>207</v>
      </c>
      <c r="F76" s="4">
        <f>Source!U54</f>
        <v>462.53690000000006</v>
      </c>
      <c r="G76" s="4" t="s">
        <v>138</v>
      </c>
      <c r="H76" s="4" t="s">
        <v>139</v>
      </c>
      <c r="I76" s="4"/>
      <c r="J76" s="4"/>
      <c r="K76" s="4">
        <v>207</v>
      </c>
      <c r="L76" s="4">
        <v>21</v>
      </c>
      <c r="M76" s="4">
        <v>3</v>
      </c>
      <c r="N76" s="4" t="s">
        <v>3</v>
      </c>
      <c r="O76" s="4">
        <v>-1</v>
      </c>
      <c r="P76" s="4"/>
      <c r="Q76" s="4"/>
      <c r="R76" s="4"/>
      <c r="S76" s="4"/>
      <c r="T76" s="4"/>
      <c r="U76" s="4"/>
      <c r="V76" s="4"/>
      <c r="W76" s="4">
        <v>132.62899999999999</v>
      </c>
      <c r="X76" s="4">
        <v>1</v>
      </c>
      <c r="Y76" s="4">
        <v>132.62899999999999</v>
      </c>
      <c r="Z76" s="4"/>
      <c r="AA76" s="4"/>
      <c r="AB76" s="4"/>
    </row>
    <row r="77" spans="1:28" x14ac:dyDescent="0.2">
      <c r="A77" s="4">
        <v>50</v>
      </c>
      <c r="B77" s="4">
        <v>0</v>
      </c>
      <c r="C77" s="4">
        <v>0</v>
      </c>
      <c r="D77" s="4">
        <v>1</v>
      </c>
      <c r="E77" s="4">
        <v>208</v>
      </c>
      <c r="F77" s="4">
        <f>Source!V54</f>
        <v>0</v>
      </c>
      <c r="G77" s="4" t="s">
        <v>140</v>
      </c>
      <c r="H77" s="4" t="s">
        <v>141</v>
      </c>
      <c r="I77" s="4"/>
      <c r="J77" s="4"/>
      <c r="K77" s="4">
        <v>208</v>
      </c>
      <c r="L77" s="4">
        <v>22</v>
      </c>
      <c r="M77" s="4">
        <v>3</v>
      </c>
      <c r="N77" s="4" t="s">
        <v>3</v>
      </c>
      <c r="O77" s="4">
        <v>-1</v>
      </c>
      <c r="P77" s="4"/>
      <c r="Q77" s="4"/>
      <c r="R77" s="4"/>
      <c r="S77" s="4"/>
      <c r="T77" s="4"/>
      <c r="U77" s="4"/>
      <c r="V77" s="4"/>
      <c r="W77" s="4">
        <v>0</v>
      </c>
      <c r="X77" s="4">
        <v>1</v>
      </c>
      <c r="Y77" s="4">
        <v>0</v>
      </c>
      <c r="Z77" s="4"/>
      <c r="AA77" s="4"/>
      <c r="AB77" s="4"/>
    </row>
    <row r="78" spans="1:28" x14ac:dyDescent="0.2">
      <c r="A78" s="4">
        <v>50</v>
      </c>
      <c r="B78" s="4">
        <v>0</v>
      </c>
      <c r="C78" s="4">
        <v>0</v>
      </c>
      <c r="D78" s="4">
        <v>1</v>
      </c>
      <c r="E78" s="4">
        <v>209</v>
      </c>
      <c r="F78" s="4">
        <f>ROUND(Source!W54,O78)</f>
        <v>0</v>
      </c>
      <c r="G78" s="4" t="s">
        <v>142</v>
      </c>
      <c r="H78" s="4" t="s">
        <v>143</v>
      </c>
      <c r="I78" s="4"/>
      <c r="J78" s="4"/>
      <c r="K78" s="4">
        <v>209</v>
      </c>
      <c r="L78" s="4">
        <v>23</v>
      </c>
      <c r="M78" s="4">
        <v>3</v>
      </c>
      <c r="N78" s="4" t="s">
        <v>3</v>
      </c>
      <c r="O78" s="4">
        <v>2</v>
      </c>
      <c r="P78" s="4"/>
      <c r="Q78" s="4"/>
      <c r="R78" s="4"/>
      <c r="S78" s="4"/>
      <c r="T78" s="4"/>
      <c r="U78" s="4"/>
      <c r="V78" s="4"/>
      <c r="W78" s="4">
        <v>0</v>
      </c>
      <c r="X78" s="4">
        <v>1</v>
      </c>
      <c r="Y78" s="4">
        <v>0</v>
      </c>
      <c r="Z78" s="4"/>
      <c r="AA78" s="4"/>
      <c r="AB78" s="4"/>
    </row>
    <row r="79" spans="1:28" x14ac:dyDescent="0.2">
      <c r="A79" s="4">
        <v>50</v>
      </c>
      <c r="B79" s="4">
        <v>0</v>
      </c>
      <c r="C79" s="4">
        <v>0</v>
      </c>
      <c r="D79" s="4">
        <v>1</v>
      </c>
      <c r="E79" s="4">
        <v>233</v>
      </c>
      <c r="F79" s="4">
        <f>ROUND(Source!BD54,O79)</f>
        <v>0</v>
      </c>
      <c r="G79" s="4" t="s">
        <v>144</v>
      </c>
      <c r="H79" s="4" t="s">
        <v>145</v>
      </c>
      <c r="I79" s="4"/>
      <c r="J79" s="4"/>
      <c r="K79" s="4">
        <v>233</v>
      </c>
      <c r="L79" s="4">
        <v>24</v>
      </c>
      <c r="M79" s="4">
        <v>3</v>
      </c>
      <c r="N79" s="4" t="s">
        <v>3</v>
      </c>
      <c r="O79" s="4">
        <v>2</v>
      </c>
      <c r="P79" s="4"/>
      <c r="Q79" s="4"/>
      <c r="R79" s="4"/>
      <c r="S79" s="4"/>
      <c r="T79" s="4"/>
      <c r="U79" s="4"/>
      <c r="V79" s="4"/>
      <c r="W79" s="4">
        <v>0</v>
      </c>
      <c r="X79" s="4">
        <v>1</v>
      </c>
      <c r="Y79" s="4">
        <v>0</v>
      </c>
      <c r="Z79" s="4"/>
      <c r="AA79" s="4"/>
      <c r="AB79" s="4"/>
    </row>
    <row r="80" spans="1:28" x14ac:dyDescent="0.2">
      <c r="A80" s="4">
        <v>50</v>
      </c>
      <c r="B80" s="4">
        <v>0</v>
      </c>
      <c r="C80" s="4">
        <v>0</v>
      </c>
      <c r="D80" s="4">
        <v>1</v>
      </c>
      <c r="E80" s="4">
        <v>210</v>
      </c>
      <c r="F80" s="4">
        <f>ROUND(Source!X54,O80)</f>
        <v>171754.53</v>
      </c>
      <c r="G80" s="4" t="s">
        <v>146</v>
      </c>
      <c r="H80" s="4" t="s">
        <v>147</v>
      </c>
      <c r="I80" s="4"/>
      <c r="J80" s="4"/>
      <c r="K80" s="4">
        <v>210</v>
      </c>
      <c r="L80" s="4">
        <v>25</v>
      </c>
      <c r="M80" s="4">
        <v>3</v>
      </c>
      <c r="N80" s="4" t="s">
        <v>3</v>
      </c>
      <c r="O80" s="4">
        <v>2</v>
      </c>
      <c r="P80" s="4"/>
      <c r="Q80" s="4"/>
      <c r="R80" s="4"/>
      <c r="S80" s="4"/>
      <c r="T80" s="4"/>
      <c r="U80" s="4"/>
      <c r="V80" s="4"/>
      <c r="W80" s="4">
        <v>50072.84</v>
      </c>
      <c r="X80" s="4">
        <v>1</v>
      </c>
      <c r="Y80" s="4">
        <v>50072.84</v>
      </c>
      <c r="Z80" s="4"/>
      <c r="AA80" s="4"/>
      <c r="AB80" s="4"/>
    </row>
    <row r="81" spans="1:245" x14ac:dyDescent="0.2">
      <c r="A81" s="4">
        <v>50</v>
      </c>
      <c r="B81" s="4">
        <v>0</v>
      </c>
      <c r="C81" s="4">
        <v>0</v>
      </c>
      <c r="D81" s="4">
        <v>1</v>
      </c>
      <c r="E81" s="4">
        <v>211</v>
      </c>
      <c r="F81" s="4">
        <f>ROUND(Source!Y54,O81)</f>
        <v>24536.37</v>
      </c>
      <c r="G81" s="4" t="s">
        <v>148</v>
      </c>
      <c r="H81" s="4" t="s">
        <v>149</v>
      </c>
      <c r="I81" s="4"/>
      <c r="J81" s="4"/>
      <c r="K81" s="4">
        <v>211</v>
      </c>
      <c r="L81" s="4">
        <v>26</v>
      </c>
      <c r="M81" s="4">
        <v>3</v>
      </c>
      <c r="N81" s="4" t="s">
        <v>3</v>
      </c>
      <c r="O81" s="4">
        <v>2</v>
      </c>
      <c r="P81" s="4"/>
      <c r="Q81" s="4"/>
      <c r="R81" s="4"/>
      <c r="S81" s="4"/>
      <c r="T81" s="4"/>
      <c r="U81" s="4"/>
      <c r="V81" s="4"/>
      <c r="W81" s="4">
        <v>7153.27</v>
      </c>
      <c r="X81" s="4">
        <v>1</v>
      </c>
      <c r="Y81" s="4">
        <v>7153.27</v>
      </c>
      <c r="Z81" s="4"/>
      <c r="AA81" s="4"/>
      <c r="AB81" s="4"/>
    </row>
    <row r="82" spans="1:245" x14ac:dyDescent="0.2">
      <c r="A82" s="4">
        <v>50</v>
      </c>
      <c r="B82" s="4">
        <v>0</v>
      </c>
      <c r="C82" s="4">
        <v>0</v>
      </c>
      <c r="D82" s="4">
        <v>1</v>
      </c>
      <c r="E82" s="4">
        <v>224</v>
      </c>
      <c r="F82" s="4">
        <f>ROUND(Source!AR54,O82)</f>
        <v>488633.02</v>
      </c>
      <c r="G82" s="4" t="s">
        <v>150</v>
      </c>
      <c r="H82" s="4" t="s">
        <v>151</v>
      </c>
      <c r="I82" s="4"/>
      <c r="J82" s="4"/>
      <c r="K82" s="4">
        <v>224</v>
      </c>
      <c r="L82" s="4">
        <v>27</v>
      </c>
      <c r="M82" s="4">
        <v>3</v>
      </c>
      <c r="N82" s="4" t="s">
        <v>3</v>
      </c>
      <c r="O82" s="4">
        <v>2</v>
      </c>
      <c r="P82" s="4"/>
      <c r="Q82" s="4"/>
      <c r="R82" s="4"/>
      <c r="S82" s="4"/>
      <c r="T82" s="4"/>
      <c r="U82" s="4"/>
      <c r="V82" s="4"/>
      <c r="W82" s="4">
        <v>136816.79999999999</v>
      </c>
      <c r="X82" s="4">
        <v>1</v>
      </c>
      <c r="Y82" s="4">
        <v>136816.79999999999</v>
      </c>
      <c r="Z82" s="4"/>
      <c r="AA82" s="4"/>
      <c r="AB82" s="4"/>
    </row>
    <row r="84" spans="1:245" x14ac:dyDescent="0.2">
      <c r="A84" s="1">
        <v>5</v>
      </c>
      <c r="B84" s="1">
        <v>1</v>
      </c>
      <c r="C84" s="1"/>
      <c r="D84" s="1">
        <f>ROW(A92)</f>
        <v>92</v>
      </c>
      <c r="E84" s="1"/>
      <c r="F84" s="1" t="s">
        <v>14</v>
      </c>
      <c r="G84" s="1" t="s">
        <v>152</v>
      </c>
      <c r="H84" s="1" t="s">
        <v>3</v>
      </c>
      <c r="I84" s="1">
        <v>0</v>
      </c>
      <c r="J84" s="1"/>
      <c r="K84" s="1">
        <v>0</v>
      </c>
      <c r="L84" s="1"/>
      <c r="M84" s="1" t="s">
        <v>3</v>
      </c>
      <c r="N84" s="1"/>
      <c r="O84" s="1"/>
      <c r="P84" s="1"/>
      <c r="Q84" s="1"/>
      <c r="R84" s="1"/>
      <c r="S84" s="1">
        <v>0</v>
      </c>
      <c r="T84" s="1"/>
      <c r="U84" s="1" t="s">
        <v>3</v>
      </c>
      <c r="V84" s="1">
        <v>0</v>
      </c>
      <c r="W84" s="1"/>
      <c r="X84" s="1"/>
      <c r="Y84" s="1"/>
      <c r="Z84" s="1"/>
      <c r="AA84" s="1"/>
      <c r="AB84" s="1" t="s">
        <v>3</v>
      </c>
      <c r="AC84" s="1" t="s">
        <v>3</v>
      </c>
      <c r="AD84" s="1" t="s">
        <v>3</v>
      </c>
      <c r="AE84" s="1" t="s">
        <v>3</v>
      </c>
      <c r="AF84" s="1" t="s">
        <v>3</v>
      </c>
      <c r="AG84" s="1" t="s">
        <v>3</v>
      </c>
      <c r="AH84" s="1"/>
      <c r="AI84" s="1"/>
      <c r="AJ84" s="1"/>
      <c r="AK84" s="1"/>
      <c r="AL84" s="1"/>
      <c r="AM84" s="1"/>
      <c r="AN84" s="1"/>
      <c r="AO84" s="1"/>
      <c r="AP84" s="1" t="s">
        <v>3</v>
      </c>
      <c r="AQ84" s="1" t="s">
        <v>3</v>
      </c>
      <c r="AR84" s="1" t="s">
        <v>3</v>
      </c>
      <c r="AS84" s="1"/>
      <c r="AT84" s="1"/>
      <c r="AU84" s="1"/>
      <c r="AV84" s="1"/>
      <c r="AW84" s="1"/>
      <c r="AX84" s="1"/>
      <c r="AY84" s="1"/>
      <c r="AZ84" s="1" t="s">
        <v>3</v>
      </c>
      <c r="BA84" s="1"/>
      <c r="BB84" s="1" t="s">
        <v>3</v>
      </c>
      <c r="BC84" s="1" t="s">
        <v>3</v>
      </c>
      <c r="BD84" s="1" t="s">
        <v>3</v>
      </c>
      <c r="BE84" s="1" t="s">
        <v>3</v>
      </c>
      <c r="BF84" s="1" t="s">
        <v>3</v>
      </c>
      <c r="BG84" s="1" t="s">
        <v>3</v>
      </c>
      <c r="BH84" s="1" t="s">
        <v>3</v>
      </c>
      <c r="BI84" s="1" t="s">
        <v>3</v>
      </c>
      <c r="BJ84" s="1" t="s">
        <v>3</v>
      </c>
      <c r="BK84" s="1" t="s">
        <v>3</v>
      </c>
      <c r="BL84" s="1" t="s">
        <v>3</v>
      </c>
      <c r="BM84" s="1" t="s">
        <v>3</v>
      </c>
      <c r="BN84" s="1" t="s">
        <v>3</v>
      </c>
      <c r="BO84" s="1" t="s">
        <v>3</v>
      </c>
      <c r="BP84" s="1" t="s">
        <v>3</v>
      </c>
      <c r="BQ84" s="1"/>
      <c r="BR84" s="1"/>
      <c r="BS84" s="1"/>
      <c r="BT84" s="1"/>
      <c r="BU84" s="1"/>
      <c r="BV84" s="1"/>
      <c r="BW84" s="1"/>
      <c r="BX84" s="1">
        <v>0</v>
      </c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>
        <v>0</v>
      </c>
    </row>
    <row r="86" spans="1:245" x14ac:dyDescent="0.2">
      <c r="A86" s="2">
        <v>52</v>
      </c>
      <c r="B86" s="2">
        <f t="shared" ref="B86:G86" si="68">B92</f>
        <v>1</v>
      </c>
      <c r="C86" s="2">
        <f t="shared" si="68"/>
        <v>5</v>
      </c>
      <c r="D86" s="2">
        <f t="shared" si="68"/>
        <v>84</v>
      </c>
      <c r="E86" s="2">
        <f t="shared" si="68"/>
        <v>0</v>
      </c>
      <c r="F86" s="2" t="str">
        <f t="shared" si="68"/>
        <v>Новый подраздел</v>
      </c>
      <c r="G86" s="2" t="str">
        <f t="shared" si="68"/>
        <v>Отопление</v>
      </c>
      <c r="H86" s="2"/>
      <c r="I86" s="2"/>
      <c r="J86" s="2"/>
      <c r="K86" s="2"/>
      <c r="L86" s="2"/>
      <c r="M86" s="2"/>
      <c r="N86" s="2"/>
      <c r="O86" s="2">
        <f t="shared" ref="O86:AT86" si="69">O92</f>
        <v>1244.32</v>
      </c>
      <c r="P86" s="2">
        <f t="shared" si="69"/>
        <v>30.8</v>
      </c>
      <c r="Q86" s="2">
        <f t="shared" si="69"/>
        <v>3.22</v>
      </c>
      <c r="R86" s="2">
        <f t="shared" si="69"/>
        <v>0</v>
      </c>
      <c r="S86" s="2">
        <f t="shared" si="69"/>
        <v>1210.3</v>
      </c>
      <c r="T86" s="2">
        <f t="shared" si="69"/>
        <v>0</v>
      </c>
      <c r="U86" s="2">
        <f t="shared" si="69"/>
        <v>1.9600000000000002</v>
      </c>
      <c r="V86" s="2">
        <f t="shared" si="69"/>
        <v>0</v>
      </c>
      <c r="W86" s="2">
        <f t="shared" si="69"/>
        <v>0</v>
      </c>
      <c r="X86" s="2">
        <f t="shared" si="69"/>
        <v>847.21</v>
      </c>
      <c r="Y86" s="2">
        <f t="shared" si="69"/>
        <v>121.03</v>
      </c>
      <c r="Z86" s="2">
        <f t="shared" si="69"/>
        <v>0</v>
      </c>
      <c r="AA86" s="2">
        <f t="shared" si="69"/>
        <v>0</v>
      </c>
      <c r="AB86" s="2">
        <f t="shared" si="69"/>
        <v>1244.32</v>
      </c>
      <c r="AC86" s="2">
        <f t="shared" si="69"/>
        <v>30.8</v>
      </c>
      <c r="AD86" s="2">
        <f t="shared" si="69"/>
        <v>3.22</v>
      </c>
      <c r="AE86" s="2">
        <f t="shared" si="69"/>
        <v>0</v>
      </c>
      <c r="AF86" s="2">
        <f t="shared" si="69"/>
        <v>1210.3</v>
      </c>
      <c r="AG86" s="2">
        <f t="shared" si="69"/>
        <v>0</v>
      </c>
      <c r="AH86" s="2">
        <f t="shared" si="69"/>
        <v>1.9600000000000002</v>
      </c>
      <c r="AI86" s="2">
        <f t="shared" si="69"/>
        <v>0</v>
      </c>
      <c r="AJ86" s="2">
        <f t="shared" si="69"/>
        <v>0</v>
      </c>
      <c r="AK86" s="2">
        <f t="shared" si="69"/>
        <v>847.21</v>
      </c>
      <c r="AL86" s="2">
        <f t="shared" si="69"/>
        <v>121.03</v>
      </c>
      <c r="AM86" s="2">
        <f t="shared" si="69"/>
        <v>0</v>
      </c>
      <c r="AN86" s="2">
        <f t="shared" si="69"/>
        <v>0</v>
      </c>
      <c r="AO86" s="2">
        <f t="shared" si="69"/>
        <v>0</v>
      </c>
      <c r="AP86" s="2">
        <f t="shared" si="69"/>
        <v>0</v>
      </c>
      <c r="AQ86" s="2">
        <f t="shared" si="69"/>
        <v>0</v>
      </c>
      <c r="AR86" s="2">
        <f t="shared" si="69"/>
        <v>2212.56</v>
      </c>
      <c r="AS86" s="2">
        <f t="shared" si="69"/>
        <v>0</v>
      </c>
      <c r="AT86" s="2">
        <f t="shared" si="69"/>
        <v>0</v>
      </c>
      <c r="AU86" s="2">
        <f t="shared" ref="AU86:BZ86" si="70">AU92</f>
        <v>2212.56</v>
      </c>
      <c r="AV86" s="2">
        <f t="shared" si="70"/>
        <v>30.8</v>
      </c>
      <c r="AW86" s="2">
        <f t="shared" si="70"/>
        <v>30.8</v>
      </c>
      <c r="AX86" s="2">
        <f t="shared" si="70"/>
        <v>0</v>
      </c>
      <c r="AY86" s="2">
        <f t="shared" si="70"/>
        <v>30.8</v>
      </c>
      <c r="AZ86" s="2">
        <f t="shared" si="70"/>
        <v>0</v>
      </c>
      <c r="BA86" s="2">
        <f t="shared" si="70"/>
        <v>0</v>
      </c>
      <c r="BB86" s="2">
        <f t="shared" si="70"/>
        <v>0</v>
      </c>
      <c r="BC86" s="2">
        <f t="shared" si="70"/>
        <v>0</v>
      </c>
      <c r="BD86" s="2">
        <f t="shared" si="70"/>
        <v>0</v>
      </c>
      <c r="BE86" s="2">
        <f t="shared" si="70"/>
        <v>0</v>
      </c>
      <c r="BF86" s="2">
        <f t="shared" si="70"/>
        <v>0</v>
      </c>
      <c r="BG86" s="2">
        <f t="shared" si="70"/>
        <v>0</v>
      </c>
      <c r="BH86" s="2">
        <f t="shared" si="70"/>
        <v>0</v>
      </c>
      <c r="BI86" s="2">
        <f t="shared" si="70"/>
        <v>0</v>
      </c>
      <c r="BJ86" s="2">
        <f t="shared" si="70"/>
        <v>0</v>
      </c>
      <c r="BK86" s="2">
        <f t="shared" si="70"/>
        <v>0</v>
      </c>
      <c r="BL86" s="2">
        <f t="shared" si="70"/>
        <v>0</v>
      </c>
      <c r="BM86" s="2">
        <f t="shared" si="70"/>
        <v>0</v>
      </c>
      <c r="BN86" s="2">
        <f t="shared" si="70"/>
        <v>0</v>
      </c>
      <c r="BO86" s="2">
        <f t="shared" si="70"/>
        <v>0</v>
      </c>
      <c r="BP86" s="2">
        <f t="shared" si="70"/>
        <v>0</v>
      </c>
      <c r="BQ86" s="2">
        <f t="shared" si="70"/>
        <v>0</v>
      </c>
      <c r="BR86" s="2">
        <f t="shared" si="70"/>
        <v>0</v>
      </c>
      <c r="BS86" s="2">
        <f t="shared" si="70"/>
        <v>0</v>
      </c>
      <c r="BT86" s="2">
        <f t="shared" si="70"/>
        <v>0</v>
      </c>
      <c r="BU86" s="2">
        <f t="shared" si="70"/>
        <v>0</v>
      </c>
      <c r="BV86" s="2">
        <f t="shared" si="70"/>
        <v>0</v>
      </c>
      <c r="BW86" s="2">
        <f t="shared" si="70"/>
        <v>0</v>
      </c>
      <c r="BX86" s="2">
        <f t="shared" si="70"/>
        <v>0</v>
      </c>
      <c r="BY86" s="2">
        <f t="shared" si="70"/>
        <v>0</v>
      </c>
      <c r="BZ86" s="2">
        <f t="shared" si="70"/>
        <v>0</v>
      </c>
      <c r="CA86" s="2">
        <f t="shared" ref="CA86:DF86" si="71">CA92</f>
        <v>2212.56</v>
      </c>
      <c r="CB86" s="2">
        <f t="shared" si="71"/>
        <v>0</v>
      </c>
      <c r="CC86" s="2">
        <f t="shared" si="71"/>
        <v>0</v>
      </c>
      <c r="CD86" s="2">
        <f t="shared" si="71"/>
        <v>2212.56</v>
      </c>
      <c r="CE86" s="2">
        <f t="shared" si="71"/>
        <v>30.8</v>
      </c>
      <c r="CF86" s="2">
        <f t="shared" si="71"/>
        <v>30.8</v>
      </c>
      <c r="CG86" s="2">
        <f t="shared" si="71"/>
        <v>0</v>
      </c>
      <c r="CH86" s="2">
        <f t="shared" si="71"/>
        <v>30.8</v>
      </c>
      <c r="CI86" s="2">
        <f t="shared" si="71"/>
        <v>0</v>
      </c>
      <c r="CJ86" s="2">
        <f t="shared" si="71"/>
        <v>0</v>
      </c>
      <c r="CK86" s="2">
        <f t="shared" si="71"/>
        <v>0</v>
      </c>
      <c r="CL86" s="2">
        <f t="shared" si="71"/>
        <v>0</v>
      </c>
      <c r="CM86" s="2">
        <f t="shared" si="71"/>
        <v>0</v>
      </c>
      <c r="CN86" s="2">
        <f t="shared" si="71"/>
        <v>0</v>
      </c>
      <c r="CO86" s="2">
        <f t="shared" si="71"/>
        <v>0</v>
      </c>
      <c r="CP86" s="2">
        <f t="shared" si="71"/>
        <v>0</v>
      </c>
      <c r="CQ86" s="2">
        <f t="shared" si="71"/>
        <v>0</v>
      </c>
      <c r="CR86" s="2">
        <f t="shared" si="71"/>
        <v>0</v>
      </c>
      <c r="CS86" s="2">
        <f t="shared" si="71"/>
        <v>0</v>
      </c>
      <c r="CT86" s="2">
        <f t="shared" si="71"/>
        <v>0</v>
      </c>
      <c r="CU86" s="2">
        <f t="shared" si="71"/>
        <v>0</v>
      </c>
      <c r="CV86" s="2">
        <f t="shared" si="71"/>
        <v>0</v>
      </c>
      <c r="CW86" s="2">
        <f t="shared" si="71"/>
        <v>0</v>
      </c>
      <c r="CX86" s="2">
        <f t="shared" si="71"/>
        <v>0</v>
      </c>
      <c r="CY86" s="2">
        <f t="shared" si="71"/>
        <v>0</v>
      </c>
      <c r="CZ86" s="2">
        <f t="shared" si="71"/>
        <v>0</v>
      </c>
      <c r="DA86" s="2">
        <f t="shared" si="71"/>
        <v>0</v>
      </c>
      <c r="DB86" s="2">
        <f t="shared" si="71"/>
        <v>0</v>
      </c>
      <c r="DC86" s="2">
        <f t="shared" si="71"/>
        <v>0</v>
      </c>
      <c r="DD86" s="2">
        <f t="shared" si="71"/>
        <v>0</v>
      </c>
      <c r="DE86" s="2">
        <f t="shared" si="71"/>
        <v>0</v>
      </c>
      <c r="DF86" s="2">
        <f t="shared" si="71"/>
        <v>0</v>
      </c>
      <c r="DG86" s="3">
        <f t="shared" ref="DG86:EL86" si="72">DG92</f>
        <v>0</v>
      </c>
      <c r="DH86" s="3">
        <f t="shared" si="72"/>
        <v>0</v>
      </c>
      <c r="DI86" s="3">
        <f t="shared" si="72"/>
        <v>0</v>
      </c>
      <c r="DJ86" s="3">
        <f t="shared" si="72"/>
        <v>0</v>
      </c>
      <c r="DK86" s="3">
        <f t="shared" si="72"/>
        <v>0</v>
      </c>
      <c r="DL86" s="3">
        <f t="shared" si="72"/>
        <v>0</v>
      </c>
      <c r="DM86" s="3">
        <f t="shared" si="72"/>
        <v>0</v>
      </c>
      <c r="DN86" s="3">
        <f t="shared" si="72"/>
        <v>0</v>
      </c>
      <c r="DO86" s="3">
        <f t="shared" si="72"/>
        <v>0</v>
      </c>
      <c r="DP86" s="3">
        <f t="shared" si="72"/>
        <v>0</v>
      </c>
      <c r="DQ86" s="3">
        <f t="shared" si="72"/>
        <v>0</v>
      </c>
      <c r="DR86" s="3">
        <f t="shared" si="72"/>
        <v>0</v>
      </c>
      <c r="DS86" s="3">
        <f t="shared" si="72"/>
        <v>0</v>
      </c>
      <c r="DT86" s="3">
        <f t="shared" si="72"/>
        <v>0</v>
      </c>
      <c r="DU86" s="3">
        <f t="shared" si="72"/>
        <v>0</v>
      </c>
      <c r="DV86" s="3">
        <f t="shared" si="72"/>
        <v>0</v>
      </c>
      <c r="DW86" s="3">
        <f t="shared" si="72"/>
        <v>0</v>
      </c>
      <c r="DX86" s="3">
        <f t="shared" si="72"/>
        <v>0</v>
      </c>
      <c r="DY86" s="3">
        <f t="shared" si="72"/>
        <v>0</v>
      </c>
      <c r="DZ86" s="3">
        <f t="shared" si="72"/>
        <v>0</v>
      </c>
      <c r="EA86" s="3">
        <f t="shared" si="72"/>
        <v>0</v>
      </c>
      <c r="EB86" s="3">
        <f t="shared" si="72"/>
        <v>0</v>
      </c>
      <c r="EC86" s="3">
        <f t="shared" si="72"/>
        <v>0</v>
      </c>
      <c r="ED86" s="3">
        <f t="shared" si="72"/>
        <v>0</v>
      </c>
      <c r="EE86" s="3">
        <f t="shared" si="72"/>
        <v>0</v>
      </c>
      <c r="EF86" s="3">
        <f t="shared" si="72"/>
        <v>0</v>
      </c>
      <c r="EG86" s="3">
        <f t="shared" si="72"/>
        <v>0</v>
      </c>
      <c r="EH86" s="3">
        <f t="shared" si="72"/>
        <v>0</v>
      </c>
      <c r="EI86" s="3">
        <f t="shared" si="72"/>
        <v>0</v>
      </c>
      <c r="EJ86" s="3">
        <f t="shared" si="72"/>
        <v>0</v>
      </c>
      <c r="EK86" s="3">
        <f t="shared" si="72"/>
        <v>0</v>
      </c>
      <c r="EL86" s="3">
        <f t="shared" si="72"/>
        <v>0</v>
      </c>
      <c r="EM86" s="3">
        <f t="shared" ref="EM86:FR86" si="73">EM92</f>
        <v>0</v>
      </c>
      <c r="EN86" s="3">
        <f t="shared" si="73"/>
        <v>0</v>
      </c>
      <c r="EO86" s="3">
        <f t="shared" si="73"/>
        <v>0</v>
      </c>
      <c r="EP86" s="3">
        <f t="shared" si="73"/>
        <v>0</v>
      </c>
      <c r="EQ86" s="3">
        <f t="shared" si="73"/>
        <v>0</v>
      </c>
      <c r="ER86" s="3">
        <f t="shared" si="73"/>
        <v>0</v>
      </c>
      <c r="ES86" s="3">
        <f t="shared" si="73"/>
        <v>0</v>
      </c>
      <c r="ET86" s="3">
        <f t="shared" si="73"/>
        <v>0</v>
      </c>
      <c r="EU86" s="3">
        <f t="shared" si="73"/>
        <v>0</v>
      </c>
      <c r="EV86" s="3">
        <f t="shared" si="73"/>
        <v>0</v>
      </c>
      <c r="EW86" s="3">
        <f t="shared" si="73"/>
        <v>0</v>
      </c>
      <c r="EX86" s="3">
        <f t="shared" si="73"/>
        <v>0</v>
      </c>
      <c r="EY86" s="3">
        <f t="shared" si="73"/>
        <v>0</v>
      </c>
      <c r="EZ86" s="3">
        <f t="shared" si="73"/>
        <v>0</v>
      </c>
      <c r="FA86" s="3">
        <f t="shared" si="73"/>
        <v>0</v>
      </c>
      <c r="FB86" s="3">
        <f t="shared" si="73"/>
        <v>0</v>
      </c>
      <c r="FC86" s="3">
        <f t="shared" si="73"/>
        <v>0</v>
      </c>
      <c r="FD86" s="3">
        <f t="shared" si="73"/>
        <v>0</v>
      </c>
      <c r="FE86" s="3">
        <f t="shared" si="73"/>
        <v>0</v>
      </c>
      <c r="FF86" s="3">
        <f t="shared" si="73"/>
        <v>0</v>
      </c>
      <c r="FG86" s="3">
        <f t="shared" si="73"/>
        <v>0</v>
      </c>
      <c r="FH86" s="3">
        <f t="shared" si="73"/>
        <v>0</v>
      </c>
      <c r="FI86" s="3">
        <f t="shared" si="73"/>
        <v>0</v>
      </c>
      <c r="FJ86" s="3">
        <f t="shared" si="73"/>
        <v>0</v>
      </c>
      <c r="FK86" s="3">
        <f t="shared" si="73"/>
        <v>0</v>
      </c>
      <c r="FL86" s="3">
        <f t="shared" si="73"/>
        <v>0</v>
      </c>
      <c r="FM86" s="3">
        <f t="shared" si="73"/>
        <v>0</v>
      </c>
      <c r="FN86" s="3">
        <f t="shared" si="73"/>
        <v>0</v>
      </c>
      <c r="FO86" s="3">
        <f t="shared" si="73"/>
        <v>0</v>
      </c>
      <c r="FP86" s="3">
        <f t="shared" si="73"/>
        <v>0</v>
      </c>
      <c r="FQ86" s="3">
        <f t="shared" si="73"/>
        <v>0</v>
      </c>
      <c r="FR86" s="3">
        <f t="shared" si="73"/>
        <v>0</v>
      </c>
      <c r="FS86" s="3">
        <f t="shared" ref="FS86:GX86" si="74">FS92</f>
        <v>0</v>
      </c>
      <c r="FT86" s="3">
        <f t="shared" si="74"/>
        <v>0</v>
      </c>
      <c r="FU86" s="3">
        <f t="shared" si="74"/>
        <v>0</v>
      </c>
      <c r="FV86" s="3">
        <f t="shared" si="74"/>
        <v>0</v>
      </c>
      <c r="FW86" s="3">
        <f t="shared" si="74"/>
        <v>0</v>
      </c>
      <c r="FX86" s="3">
        <f t="shared" si="74"/>
        <v>0</v>
      </c>
      <c r="FY86" s="3">
        <f t="shared" si="74"/>
        <v>0</v>
      </c>
      <c r="FZ86" s="3">
        <f t="shared" si="74"/>
        <v>0</v>
      </c>
      <c r="GA86" s="3">
        <f t="shared" si="74"/>
        <v>0</v>
      </c>
      <c r="GB86" s="3">
        <f t="shared" si="74"/>
        <v>0</v>
      </c>
      <c r="GC86" s="3">
        <f t="shared" si="74"/>
        <v>0</v>
      </c>
      <c r="GD86" s="3">
        <f t="shared" si="74"/>
        <v>0</v>
      </c>
      <c r="GE86" s="3">
        <f t="shared" si="74"/>
        <v>0</v>
      </c>
      <c r="GF86" s="3">
        <f t="shared" si="74"/>
        <v>0</v>
      </c>
      <c r="GG86" s="3">
        <f t="shared" si="74"/>
        <v>0</v>
      </c>
      <c r="GH86" s="3">
        <f t="shared" si="74"/>
        <v>0</v>
      </c>
      <c r="GI86" s="3">
        <f t="shared" si="74"/>
        <v>0</v>
      </c>
      <c r="GJ86" s="3">
        <f t="shared" si="74"/>
        <v>0</v>
      </c>
      <c r="GK86" s="3">
        <f t="shared" si="74"/>
        <v>0</v>
      </c>
      <c r="GL86" s="3">
        <f t="shared" si="74"/>
        <v>0</v>
      </c>
      <c r="GM86" s="3">
        <f t="shared" si="74"/>
        <v>0</v>
      </c>
      <c r="GN86" s="3">
        <f t="shared" si="74"/>
        <v>0</v>
      </c>
      <c r="GO86" s="3">
        <f t="shared" si="74"/>
        <v>0</v>
      </c>
      <c r="GP86" s="3">
        <f t="shared" si="74"/>
        <v>0</v>
      </c>
      <c r="GQ86" s="3">
        <f t="shared" si="74"/>
        <v>0</v>
      </c>
      <c r="GR86" s="3">
        <f t="shared" si="74"/>
        <v>0</v>
      </c>
      <c r="GS86" s="3">
        <f t="shared" si="74"/>
        <v>0</v>
      </c>
      <c r="GT86" s="3">
        <f t="shared" si="74"/>
        <v>0</v>
      </c>
      <c r="GU86" s="3">
        <f t="shared" si="74"/>
        <v>0</v>
      </c>
      <c r="GV86" s="3">
        <f t="shared" si="74"/>
        <v>0</v>
      </c>
      <c r="GW86" s="3">
        <f t="shared" si="74"/>
        <v>0</v>
      </c>
      <c r="GX86" s="3">
        <f t="shared" si="74"/>
        <v>0</v>
      </c>
    </row>
    <row r="88" spans="1:245" x14ac:dyDescent="0.2">
      <c r="A88">
        <v>17</v>
      </c>
      <c r="B88">
        <v>1</v>
      </c>
      <c r="D88">
        <f>ROW(EtalonRes!A43)</f>
        <v>43</v>
      </c>
      <c r="E88" t="s">
        <v>3</v>
      </c>
      <c r="F88" t="s">
        <v>153</v>
      </c>
      <c r="G88" t="s">
        <v>154</v>
      </c>
      <c r="H88" t="s">
        <v>36</v>
      </c>
      <c r="I88">
        <f>ROUND((2)*7,9)</f>
        <v>14</v>
      </c>
      <c r="J88">
        <v>0</v>
      </c>
      <c r="K88">
        <f>ROUND((2)*7,9)</f>
        <v>14</v>
      </c>
      <c r="O88">
        <f>ROUND(CP88,2)</f>
        <v>15801.38</v>
      </c>
      <c r="P88">
        <f>ROUND(CQ88*I88,2)</f>
        <v>4.34</v>
      </c>
      <c r="Q88">
        <f>ROUND(CR88*I88,2)</f>
        <v>0</v>
      </c>
      <c r="R88">
        <f>ROUND(CS88*I88,2)</f>
        <v>0</v>
      </c>
      <c r="S88">
        <f>ROUND(CT88*I88,2)</f>
        <v>15797.04</v>
      </c>
      <c r="T88">
        <f>ROUND(CU88*I88,2)</f>
        <v>0</v>
      </c>
      <c r="U88">
        <f>CV88*I88</f>
        <v>22.26</v>
      </c>
      <c r="V88">
        <f>CW88*I88</f>
        <v>0</v>
      </c>
      <c r="W88">
        <f>ROUND(CX88*I88,2)</f>
        <v>0</v>
      </c>
      <c r="X88">
        <f t="shared" ref="X88:Y90" si="75">ROUND(CY88,2)</f>
        <v>11057.93</v>
      </c>
      <c r="Y88">
        <f t="shared" si="75"/>
        <v>1579.7</v>
      </c>
      <c r="AA88">
        <v>-1</v>
      </c>
      <c r="AB88">
        <f>ROUND((AC88+AD88+AF88),6)</f>
        <v>1128.67</v>
      </c>
      <c r="AC88">
        <f>ROUND((ES88),6)</f>
        <v>0.31</v>
      </c>
      <c r="AD88">
        <f>ROUND((((ET88)-(EU88))+AE88),6)</f>
        <v>0</v>
      </c>
      <c r="AE88">
        <f>ROUND((EU88),6)</f>
        <v>0</v>
      </c>
      <c r="AF88">
        <f>ROUND((EV88),6)</f>
        <v>1128.3599999999999</v>
      </c>
      <c r="AG88">
        <f>ROUND((AP88),6)</f>
        <v>0</v>
      </c>
      <c r="AH88">
        <f>(EW88)</f>
        <v>1.59</v>
      </c>
      <c r="AI88">
        <f>(EX88)</f>
        <v>0</v>
      </c>
      <c r="AJ88">
        <f>(AS88)</f>
        <v>0</v>
      </c>
      <c r="AK88">
        <v>1128.67</v>
      </c>
      <c r="AL88">
        <v>0.31</v>
      </c>
      <c r="AM88">
        <v>0</v>
      </c>
      <c r="AN88">
        <v>0</v>
      </c>
      <c r="AO88">
        <v>1128.3599999999999</v>
      </c>
      <c r="AP88">
        <v>0</v>
      </c>
      <c r="AQ88">
        <v>1.59</v>
      </c>
      <c r="AR88">
        <v>0</v>
      </c>
      <c r="AS88">
        <v>0</v>
      </c>
      <c r="AT88">
        <v>70</v>
      </c>
      <c r="AU88">
        <v>10</v>
      </c>
      <c r="AV88">
        <v>1</v>
      </c>
      <c r="AW88">
        <v>1</v>
      </c>
      <c r="AZ88">
        <v>1</v>
      </c>
      <c r="BA88">
        <v>1</v>
      </c>
      <c r="BB88">
        <v>1</v>
      </c>
      <c r="BC88">
        <v>1</v>
      </c>
      <c r="BD88" t="s">
        <v>3</v>
      </c>
      <c r="BE88" t="s">
        <v>3</v>
      </c>
      <c r="BF88" t="s">
        <v>3</v>
      </c>
      <c r="BG88" t="s">
        <v>3</v>
      </c>
      <c r="BH88">
        <v>0</v>
      </c>
      <c r="BI88">
        <v>4</v>
      </c>
      <c r="BJ88" t="s">
        <v>155</v>
      </c>
      <c r="BM88">
        <v>0</v>
      </c>
      <c r="BN88">
        <v>0</v>
      </c>
      <c r="BO88" t="s">
        <v>3</v>
      </c>
      <c r="BP88">
        <v>0</v>
      </c>
      <c r="BQ88">
        <v>1</v>
      </c>
      <c r="BR88">
        <v>0</v>
      </c>
      <c r="BS88">
        <v>1</v>
      </c>
      <c r="BT88">
        <v>1</v>
      </c>
      <c r="BU88">
        <v>1</v>
      </c>
      <c r="BV88">
        <v>1</v>
      </c>
      <c r="BW88">
        <v>1</v>
      </c>
      <c r="BX88">
        <v>1</v>
      </c>
      <c r="BY88" t="s">
        <v>3</v>
      </c>
      <c r="BZ88">
        <v>70</v>
      </c>
      <c r="CA88">
        <v>10</v>
      </c>
      <c r="CB88" t="s">
        <v>3</v>
      </c>
      <c r="CE88">
        <v>0</v>
      </c>
      <c r="CF88">
        <v>0</v>
      </c>
      <c r="CG88">
        <v>0</v>
      </c>
      <c r="CM88">
        <v>0</v>
      </c>
      <c r="CN88" t="s">
        <v>3</v>
      </c>
      <c r="CO88">
        <v>0</v>
      </c>
      <c r="CP88">
        <f>(P88+Q88+S88)</f>
        <v>15801.380000000001</v>
      </c>
      <c r="CQ88">
        <f>(AC88*BC88*AW88)</f>
        <v>0.31</v>
      </c>
      <c r="CR88">
        <f>((((ET88)*BB88-(EU88)*BS88)+AE88*BS88)*AV88)</f>
        <v>0</v>
      </c>
      <c r="CS88">
        <f>(AE88*BS88*AV88)</f>
        <v>0</v>
      </c>
      <c r="CT88">
        <f>(AF88*BA88*AV88)</f>
        <v>1128.3599999999999</v>
      </c>
      <c r="CU88">
        <f>AG88</f>
        <v>0</v>
      </c>
      <c r="CV88">
        <f>(AH88*AV88)</f>
        <v>1.59</v>
      </c>
      <c r="CW88">
        <f t="shared" ref="CW88:CX90" si="76">AI88</f>
        <v>0</v>
      </c>
      <c r="CX88">
        <f t="shared" si="76"/>
        <v>0</v>
      </c>
      <c r="CY88">
        <f>((S88*BZ88)/100)</f>
        <v>11057.928</v>
      </c>
      <c r="CZ88">
        <f>((S88*CA88)/100)</f>
        <v>1579.7040000000002</v>
      </c>
      <c r="DC88" t="s">
        <v>3</v>
      </c>
      <c r="DD88" t="s">
        <v>3</v>
      </c>
      <c r="DE88" t="s">
        <v>3</v>
      </c>
      <c r="DF88" t="s">
        <v>3</v>
      </c>
      <c r="DG88" t="s">
        <v>3</v>
      </c>
      <c r="DH88" t="s">
        <v>3</v>
      </c>
      <c r="DI88" t="s">
        <v>3</v>
      </c>
      <c r="DJ88" t="s">
        <v>3</v>
      </c>
      <c r="DK88" t="s">
        <v>3</v>
      </c>
      <c r="DL88" t="s">
        <v>3</v>
      </c>
      <c r="DM88" t="s">
        <v>3</v>
      </c>
      <c r="DN88">
        <v>0</v>
      </c>
      <c r="DO88">
        <v>0</v>
      </c>
      <c r="DP88">
        <v>1</v>
      </c>
      <c r="DQ88">
        <v>1</v>
      </c>
      <c r="DU88">
        <v>16987630</v>
      </c>
      <c r="DV88" t="s">
        <v>36</v>
      </c>
      <c r="DW88" t="s">
        <v>36</v>
      </c>
      <c r="DX88">
        <v>1</v>
      </c>
      <c r="DZ88" t="s">
        <v>3</v>
      </c>
      <c r="EA88" t="s">
        <v>3</v>
      </c>
      <c r="EB88" t="s">
        <v>3</v>
      </c>
      <c r="EC88" t="s">
        <v>3</v>
      </c>
      <c r="EE88">
        <v>1441815344</v>
      </c>
      <c r="EF88">
        <v>1</v>
      </c>
      <c r="EG88" t="s">
        <v>21</v>
      </c>
      <c r="EH88">
        <v>0</v>
      </c>
      <c r="EI88" t="s">
        <v>3</v>
      </c>
      <c r="EJ88">
        <v>4</v>
      </c>
      <c r="EK88">
        <v>0</v>
      </c>
      <c r="EL88" t="s">
        <v>22</v>
      </c>
      <c r="EM88" t="s">
        <v>23</v>
      </c>
      <c r="EO88" t="s">
        <v>3</v>
      </c>
      <c r="EQ88">
        <v>1836032</v>
      </c>
      <c r="ER88">
        <v>1128.67</v>
      </c>
      <c r="ES88">
        <v>0.31</v>
      </c>
      <c r="ET88">
        <v>0</v>
      </c>
      <c r="EU88">
        <v>0</v>
      </c>
      <c r="EV88">
        <v>1128.3599999999999</v>
      </c>
      <c r="EW88">
        <v>1.59</v>
      </c>
      <c r="EX88">
        <v>0</v>
      </c>
      <c r="EY88">
        <v>0</v>
      </c>
      <c r="FQ88">
        <v>0</v>
      </c>
      <c r="FR88">
        <f>ROUND(IF(BI88=3,GM88,0),2)</f>
        <v>0</v>
      </c>
      <c r="FS88">
        <v>0</v>
      </c>
      <c r="FX88">
        <v>70</v>
      </c>
      <c r="FY88">
        <v>10</v>
      </c>
      <c r="GA88" t="s">
        <v>3</v>
      </c>
      <c r="GD88">
        <v>0</v>
      </c>
      <c r="GF88">
        <v>2029808212</v>
      </c>
      <c r="GG88">
        <v>2</v>
      </c>
      <c r="GH88">
        <v>1</v>
      </c>
      <c r="GI88">
        <v>-2</v>
      </c>
      <c r="GJ88">
        <v>0</v>
      </c>
      <c r="GK88">
        <f>ROUND(R88*(R12)/100,2)</f>
        <v>0</v>
      </c>
      <c r="GL88">
        <f>ROUND(IF(AND(BH88=3,BI88=3,FS88&lt;&gt;0),P88,0),2)</f>
        <v>0</v>
      </c>
      <c r="GM88">
        <f>ROUND(O88+X88+Y88+GK88,2)+GX88</f>
        <v>28439.01</v>
      </c>
      <c r="GN88">
        <f>IF(OR(BI88=0,BI88=1),GM88-GX88,0)</f>
        <v>0</v>
      </c>
      <c r="GO88">
        <f>IF(BI88=2,GM88-GX88,0)</f>
        <v>0</v>
      </c>
      <c r="GP88">
        <f>IF(BI88=4,GM88-GX88,0)</f>
        <v>28439.01</v>
      </c>
      <c r="GR88">
        <v>0</v>
      </c>
      <c r="GS88">
        <v>3</v>
      </c>
      <c r="GT88">
        <v>0</v>
      </c>
      <c r="GU88" t="s">
        <v>3</v>
      </c>
      <c r="GV88">
        <f>ROUND((GT88),6)</f>
        <v>0</v>
      </c>
      <c r="GW88">
        <v>1</v>
      </c>
      <c r="GX88">
        <f>ROUND(HC88*I88,2)</f>
        <v>0</v>
      </c>
      <c r="HA88">
        <v>0</v>
      </c>
      <c r="HB88">
        <v>0</v>
      </c>
      <c r="HC88">
        <f>GV88*GW88</f>
        <v>0</v>
      </c>
      <c r="HE88" t="s">
        <v>3</v>
      </c>
      <c r="HF88" t="s">
        <v>3</v>
      </c>
      <c r="HM88" t="s">
        <v>3</v>
      </c>
      <c r="HN88" t="s">
        <v>3</v>
      </c>
      <c r="HO88" t="s">
        <v>3</v>
      </c>
      <c r="HP88" t="s">
        <v>3</v>
      </c>
      <c r="HQ88" t="s">
        <v>3</v>
      </c>
      <c r="IK88">
        <v>0</v>
      </c>
    </row>
    <row r="89" spans="1:245" x14ac:dyDescent="0.2">
      <c r="A89">
        <v>17</v>
      </c>
      <c r="B89">
        <v>1</v>
      </c>
      <c r="D89">
        <f>ROW(EtalonRes!A46)</f>
        <v>46</v>
      </c>
      <c r="E89" t="s">
        <v>156</v>
      </c>
      <c r="F89" t="s">
        <v>157</v>
      </c>
      <c r="G89" t="s">
        <v>158</v>
      </c>
      <c r="H89" t="s">
        <v>36</v>
      </c>
      <c r="I89">
        <f>ROUND(2*7,9)</f>
        <v>14</v>
      </c>
      <c r="J89">
        <v>0</v>
      </c>
      <c r="K89">
        <f>ROUND(2*7,9)</f>
        <v>14</v>
      </c>
      <c r="O89">
        <f>ROUND(CP89,2)</f>
        <v>1244.32</v>
      </c>
      <c r="P89">
        <f>ROUND(CQ89*I89,2)</f>
        <v>30.8</v>
      </c>
      <c r="Q89">
        <f>ROUND(CR89*I89,2)</f>
        <v>3.22</v>
      </c>
      <c r="R89">
        <f>ROUND(CS89*I89,2)</f>
        <v>0</v>
      </c>
      <c r="S89">
        <f>ROUND(CT89*I89,2)</f>
        <v>1210.3</v>
      </c>
      <c r="T89">
        <f>ROUND(CU89*I89,2)</f>
        <v>0</v>
      </c>
      <c r="U89">
        <f>CV89*I89</f>
        <v>1.9600000000000002</v>
      </c>
      <c r="V89">
        <f>CW89*I89</f>
        <v>0</v>
      </c>
      <c r="W89">
        <f>ROUND(CX89*I89,2)</f>
        <v>0</v>
      </c>
      <c r="X89">
        <f t="shared" si="75"/>
        <v>847.21</v>
      </c>
      <c r="Y89">
        <f t="shared" si="75"/>
        <v>121.03</v>
      </c>
      <c r="AA89">
        <v>1471718271</v>
      </c>
      <c r="AB89">
        <f>ROUND((AC89+AD89+AF89),6)</f>
        <v>88.88</v>
      </c>
      <c r="AC89">
        <f>ROUND((ES89),6)</f>
        <v>2.2000000000000002</v>
      </c>
      <c r="AD89">
        <f>ROUND((((ET89)-(EU89))+AE89),6)</f>
        <v>0.23</v>
      </c>
      <c r="AE89">
        <f>ROUND((EU89),6)</f>
        <v>0</v>
      </c>
      <c r="AF89">
        <f>ROUND((EV89),6)</f>
        <v>86.45</v>
      </c>
      <c r="AG89">
        <f>ROUND((AP89),6)</f>
        <v>0</v>
      </c>
      <c r="AH89">
        <f>(EW89)</f>
        <v>0.14000000000000001</v>
      </c>
      <c r="AI89">
        <f>(EX89)</f>
        <v>0</v>
      </c>
      <c r="AJ89">
        <f>(AS89)</f>
        <v>0</v>
      </c>
      <c r="AK89">
        <v>88.88</v>
      </c>
      <c r="AL89">
        <v>2.2000000000000002</v>
      </c>
      <c r="AM89">
        <v>0.23</v>
      </c>
      <c r="AN89">
        <v>0</v>
      </c>
      <c r="AO89">
        <v>86.45</v>
      </c>
      <c r="AP89">
        <v>0</v>
      </c>
      <c r="AQ89">
        <v>0.14000000000000001</v>
      </c>
      <c r="AR89">
        <v>0</v>
      </c>
      <c r="AS89">
        <v>0</v>
      </c>
      <c r="AT89">
        <v>70</v>
      </c>
      <c r="AU89">
        <v>10</v>
      </c>
      <c r="AV89">
        <v>1</v>
      </c>
      <c r="AW89">
        <v>1</v>
      </c>
      <c r="AZ89">
        <v>1</v>
      </c>
      <c r="BA89">
        <v>1</v>
      </c>
      <c r="BB89">
        <v>1</v>
      </c>
      <c r="BC89">
        <v>1</v>
      </c>
      <c r="BD89" t="s">
        <v>3</v>
      </c>
      <c r="BE89" t="s">
        <v>3</v>
      </c>
      <c r="BF89" t="s">
        <v>3</v>
      </c>
      <c r="BG89" t="s">
        <v>3</v>
      </c>
      <c r="BH89">
        <v>0</v>
      </c>
      <c r="BI89">
        <v>4</v>
      </c>
      <c r="BJ89" t="s">
        <v>159</v>
      </c>
      <c r="BM89">
        <v>0</v>
      </c>
      <c r="BN89">
        <v>0</v>
      </c>
      <c r="BO89" t="s">
        <v>3</v>
      </c>
      <c r="BP89">
        <v>0</v>
      </c>
      <c r="BQ89">
        <v>1</v>
      </c>
      <c r="BR89">
        <v>0</v>
      </c>
      <c r="BS89">
        <v>1</v>
      </c>
      <c r="BT89">
        <v>1</v>
      </c>
      <c r="BU89">
        <v>1</v>
      </c>
      <c r="BV89">
        <v>1</v>
      </c>
      <c r="BW89">
        <v>1</v>
      </c>
      <c r="BX89">
        <v>1</v>
      </c>
      <c r="BY89" t="s">
        <v>3</v>
      </c>
      <c r="BZ89">
        <v>70</v>
      </c>
      <c r="CA89">
        <v>10</v>
      </c>
      <c r="CB89" t="s">
        <v>3</v>
      </c>
      <c r="CE89">
        <v>0</v>
      </c>
      <c r="CF89">
        <v>0</v>
      </c>
      <c r="CG89">
        <v>0</v>
      </c>
      <c r="CM89">
        <v>0</v>
      </c>
      <c r="CN89" t="s">
        <v>3</v>
      </c>
      <c r="CO89">
        <v>0</v>
      </c>
      <c r="CP89">
        <f>(P89+Q89+S89)</f>
        <v>1244.32</v>
      </c>
      <c r="CQ89">
        <f>(AC89*BC89*AW89)</f>
        <v>2.2000000000000002</v>
      </c>
      <c r="CR89">
        <f>((((ET89)*BB89-(EU89)*BS89)+AE89*BS89)*AV89)</f>
        <v>0.23</v>
      </c>
      <c r="CS89">
        <f>(AE89*BS89*AV89)</f>
        <v>0</v>
      </c>
      <c r="CT89">
        <f>(AF89*BA89*AV89)</f>
        <v>86.45</v>
      </c>
      <c r="CU89">
        <f>AG89</f>
        <v>0</v>
      </c>
      <c r="CV89">
        <f>(AH89*AV89)</f>
        <v>0.14000000000000001</v>
      </c>
      <c r="CW89">
        <f t="shared" si="76"/>
        <v>0</v>
      </c>
      <c r="CX89">
        <f t="shared" si="76"/>
        <v>0</v>
      </c>
      <c r="CY89">
        <f>((S89*BZ89)/100)</f>
        <v>847.21</v>
      </c>
      <c r="CZ89">
        <f>((S89*CA89)/100)</f>
        <v>121.03</v>
      </c>
      <c r="DC89" t="s">
        <v>3</v>
      </c>
      <c r="DD89" t="s">
        <v>3</v>
      </c>
      <c r="DE89" t="s">
        <v>3</v>
      </c>
      <c r="DF89" t="s">
        <v>3</v>
      </c>
      <c r="DG89" t="s">
        <v>3</v>
      </c>
      <c r="DH89" t="s">
        <v>3</v>
      </c>
      <c r="DI89" t="s">
        <v>3</v>
      </c>
      <c r="DJ89" t="s">
        <v>3</v>
      </c>
      <c r="DK89" t="s">
        <v>3</v>
      </c>
      <c r="DL89" t="s">
        <v>3</v>
      </c>
      <c r="DM89" t="s">
        <v>3</v>
      </c>
      <c r="DN89">
        <v>0</v>
      </c>
      <c r="DO89">
        <v>0</v>
      </c>
      <c r="DP89">
        <v>1</v>
      </c>
      <c r="DQ89">
        <v>1</v>
      </c>
      <c r="DU89">
        <v>16987630</v>
      </c>
      <c r="DV89" t="s">
        <v>36</v>
      </c>
      <c r="DW89" t="s">
        <v>36</v>
      </c>
      <c r="DX89">
        <v>1</v>
      </c>
      <c r="DZ89" t="s">
        <v>3</v>
      </c>
      <c r="EA89" t="s">
        <v>3</v>
      </c>
      <c r="EB89" t="s">
        <v>3</v>
      </c>
      <c r="EC89" t="s">
        <v>3</v>
      </c>
      <c r="EE89">
        <v>1441815344</v>
      </c>
      <c r="EF89">
        <v>1</v>
      </c>
      <c r="EG89" t="s">
        <v>21</v>
      </c>
      <c r="EH89">
        <v>0</v>
      </c>
      <c r="EI89" t="s">
        <v>3</v>
      </c>
      <c r="EJ89">
        <v>4</v>
      </c>
      <c r="EK89">
        <v>0</v>
      </c>
      <c r="EL89" t="s">
        <v>22</v>
      </c>
      <c r="EM89" t="s">
        <v>23</v>
      </c>
      <c r="EO89" t="s">
        <v>3</v>
      </c>
      <c r="EQ89">
        <v>0</v>
      </c>
      <c r="ER89">
        <v>88.88</v>
      </c>
      <c r="ES89">
        <v>2.2000000000000002</v>
      </c>
      <c r="ET89">
        <v>0.23</v>
      </c>
      <c r="EU89">
        <v>0</v>
      </c>
      <c r="EV89">
        <v>86.45</v>
      </c>
      <c r="EW89">
        <v>0.14000000000000001</v>
      </c>
      <c r="EX89">
        <v>0</v>
      </c>
      <c r="EY89">
        <v>0</v>
      </c>
      <c r="FQ89">
        <v>0</v>
      </c>
      <c r="FR89">
        <f>ROUND(IF(BI89=3,GM89,0),2)</f>
        <v>0</v>
      </c>
      <c r="FS89">
        <v>0</v>
      </c>
      <c r="FX89">
        <v>70</v>
      </c>
      <c r="FY89">
        <v>10</v>
      </c>
      <c r="GA89" t="s">
        <v>3</v>
      </c>
      <c r="GD89">
        <v>0</v>
      </c>
      <c r="GF89">
        <v>-129403832</v>
      </c>
      <c r="GG89">
        <v>2</v>
      </c>
      <c r="GH89">
        <v>1</v>
      </c>
      <c r="GI89">
        <v>-2</v>
      </c>
      <c r="GJ89">
        <v>0</v>
      </c>
      <c r="GK89">
        <f>ROUND(R89*(R12)/100,2)</f>
        <v>0</v>
      </c>
      <c r="GL89">
        <f>ROUND(IF(AND(BH89=3,BI89=3,FS89&lt;&gt;0),P89,0),2)</f>
        <v>0</v>
      </c>
      <c r="GM89">
        <f>ROUND(O89+X89+Y89+GK89,2)+GX89</f>
        <v>2212.56</v>
      </c>
      <c r="GN89">
        <f>IF(OR(BI89=0,BI89=1),GM89-GX89,0)</f>
        <v>0</v>
      </c>
      <c r="GO89">
        <f>IF(BI89=2,GM89-GX89,0)</f>
        <v>0</v>
      </c>
      <c r="GP89">
        <f>IF(BI89=4,GM89-GX89,0)</f>
        <v>2212.56</v>
      </c>
      <c r="GR89">
        <v>0</v>
      </c>
      <c r="GS89">
        <v>3</v>
      </c>
      <c r="GT89">
        <v>0</v>
      </c>
      <c r="GU89" t="s">
        <v>3</v>
      </c>
      <c r="GV89">
        <f>ROUND((GT89),6)</f>
        <v>0</v>
      </c>
      <c r="GW89">
        <v>1</v>
      </c>
      <c r="GX89">
        <f>ROUND(HC89*I89,2)</f>
        <v>0</v>
      </c>
      <c r="HA89">
        <v>0</v>
      </c>
      <c r="HB89">
        <v>0</v>
      </c>
      <c r="HC89">
        <f>GV89*GW89</f>
        <v>0</v>
      </c>
      <c r="HE89" t="s">
        <v>3</v>
      </c>
      <c r="HF89" t="s">
        <v>3</v>
      </c>
      <c r="HM89" t="s">
        <v>3</v>
      </c>
      <c r="HN89" t="s">
        <v>3</v>
      </c>
      <c r="HO89" t="s">
        <v>3</v>
      </c>
      <c r="HP89" t="s">
        <v>3</v>
      </c>
      <c r="HQ89" t="s">
        <v>3</v>
      </c>
      <c r="IK89">
        <v>0</v>
      </c>
    </row>
    <row r="90" spans="1:245" x14ac:dyDescent="0.2">
      <c r="A90">
        <v>17</v>
      </c>
      <c r="B90">
        <v>1</v>
      </c>
      <c r="D90">
        <f>ROW(EtalonRes!A47)</f>
        <v>47</v>
      </c>
      <c r="E90" t="s">
        <v>3</v>
      </c>
      <c r="F90" t="s">
        <v>160</v>
      </c>
      <c r="G90" t="s">
        <v>161</v>
      </c>
      <c r="H90" t="s">
        <v>31</v>
      </c>
      <c r="I90">
        <f>ROUND(2*7/10,9)</f>
        <v>1.4</v>
      </c>
      <c r="J90">
        <v>0</v>
      </c>
      <c r="K90">
        <f>ROUND(2*7/10,9)</f>
        <v>1.4</v>
      </c>
      <c r="O90">
        <f>ROUND(CP90,2)</f>
        <v>872.8</v>
      </c>
      <c r="P90">
        <f>ROUND(CQ90*I90,2)</f>
        <v>0</v>
      </c>
      <c r="Q90">
        <f>ROUND(CR90*I90,2)</f>
        <v>0</v>
      </c>
      <c r="R90">
        <f>ROUND(CS90*I90,2)</f>
        <v>0</v>
      </c>
      <c r="S90">
        <f>ROUND(CT90*I90,2)</f>
        <v>872.8</v>
      </c>
      <c r="T90">
        <f>ROUND(CU90*I90,2)</f>
        <v>0</v>
      </c>
      <c r="U90">
        <f>CV90*I90</f>
        <v>1.722</v>
      </c>
      <c r="V90">
        <f>CW90*I90</f>
        <v>0</v>
      </c>
      <c r="W90">
        <f>ROUND(CX90*I90,2)</f>
        <v>0</v>
      </c>
      <c r="X90">
        <f t="shared" si="75"/>
        <v>610.96</v>
      </c>
      <c r="Y90">
        <f t="shared" si="75"/>
        <v>87.28</v>
      </c>
      <c r="AA90">
        <v>-1</v>
      </c>
      <c r="AB90">
        <f>ROUND((AC90+AD90+AF90),6)</f>
        <v>623.42999999999995</v>
      </c>
      <c r="AC90">
        <f>ROUND(((ES90*3)),6)</f>
        <v>0</v>
      </c>
      <c r="AD90">
        <f>ROUND(((((ET90*3))-((EU90*3)))+AE90),6)</f>
        <v>0</v>
      </c>
      <c r="AE90">
        <f>ROUND(((EU90*3)),6)</f>
        <v>0</v>
      </c>
      <c r="AF90">
        <f>ROUND(((EV90*3)),6)</f>
        <v>623.42999999999995</v>
      </c>
      <c r="AG90">
        <f>ROUND((AP90),6)</f>
        <v>0</v>
      </c>
      <c r="AH90">
        <f>((EW90*3))</f>
        <v>1.23</v>
      </c>
      <c r="AI90">
        <f>((EX90*3))</f>
        <v>0</v>
      </c>
      <c r="AJ90">
        <f>(AS90)</f>
        <v>0</v>
      </c>
      <c r="AK90">
        <v>207.81</v>
      </c>
      <c r="AL90">
        <v>0</v>
      </c>
      <c r="AM90">
        <v>0</v>
      </c>
      <c r="AN90">
        <v>0</v>
      </c>
      <c r="AO90">
        <v>207.81</v>
      </c>
      <c r="AP90">
        <v>0</v>
      </c>
      <c r="AQ90">
        <v>0.41</v>
      </c>
      <c r="AR90">
        <v>0</v>
      </c>
      <c r="AS90">
        <v>0</v>
      </c>
      <c r="AT90">
        <v>70</v>
      </c>
      <c r="AU90">
        <v>10</v>
      </c>
      <c r="AV90">
        <v>1</v>
      </c>
      <c r="AW90">
        <v>1</v>
      </c>
      <c r="AZ90">
        <v>1</v>
      </c>
      <c r="BA90">
        <v>1</v>
      </c>
      <c r="BB90">
        <v>1</v>
      </c>
      <c r="BC90">
        <v>1</v>
      </c>
      <c r="BD90" t="s">
        <v>3</v>
      </c>
      <c r="BE90" t="s">
        <v>3</v>
      </c>
      <c r="BF90" t="s">
        <v>3</v>
      </c>
      <c r="BG90" t="s">
        <v>3</v>
      </c>
      <c r="BH90">
        <v>0</v>
      </c>
      <c r="BI90">
        <v>4</v>
      </c>
      <c r="BJ90" t="s">
        <v>162</v>
      </c>
      <c r="BM90">
        <v>0</v>
      </c>
      <c r="BN90">
        <v>0</v>
      </c>
      <c r="BO90" t="s">
        <v>3</v>
      </c>
      <c r="BP90">
        <v>0</v>
      </c>
      <c r="BQ90">
        <v>1</v>
      </c>
      <c r="BR90">
        <v>0</v>
      </c>
      <c r="BS90">
        <v>1</v>
      </c>
      <c r="BT90">
        <v>1</v>
      </c>
      <c r="BU90">
        <v>1</v>
      </c>
      <c r="BV90">
        <v>1</v>
      </c>
      <c r="BW90">
        <v>1</v>
      </c>
      <c r="BX90">
        <v>1</v>
      </c>
      <c r="BY90" t="s">
        <v>3</v>
      </c>
      <c r="BZ90">
        <v>70</v>
      </c>
      <c r="CA90">
        <v>10</v>
      </c>
      <c r="CB90" t="s">
        <v>3</v>
      </c>
      <c r="CE90">
        <v>0</v>
      </c>
      <c r="CF90">
        <v>0</v>
      </c>
      <c r="CG90">
        <v>0</v>
      </c>
      <c r="CM90">
        <v>0</v>
      </c>
      <c r="CN90" t="s">
        <v>3</v>
      </c>
      <c r="CO90">
        <v>0</v>
      </c>
      <c r="CP90">
        <f>(P90+Q90+S90)</f>
        <v>872.8</v>
      </c>
      <c r="CQ90">
        <f>(AC90*BC90*AW90)</f>
        <v>0</v>
      </c>
      <c r="CR90">
        <f>(((((ET90*3))*BB90-((EU90*3))*BS90)+AE90*BS90)*AV90)</f>
        <v>0</v>
      </c>
      <c r="CS90">
        <f>(AE90*BS90*AV90)</f>
        <v>0</v>
      </c>
      <c r="CT90">
        <f>(AF90*BA90*AV90)</f>
        <v>623.42999999999995</v>
      </c>
      <c r="CU90">
        <f>AG90</f>
        <v>0</v>
      </c>
      <c r="CV90">
        <f>(AH90*AV90)</f>
        <v>1.23</v>
      </c>
      <c r="CW90">
        <f t="shared" si="76"/>
        <v>0</v>
      </c>
      <c r="CX90">
        <f t="shared" si="76"/>
        <v>0</v>
      </c>
      <c r="CY90">
        <f>((S90*BZ90)/100)</f>
        <v>610.96</v>
      </c>
      <c r="CZ90">
        <f>((S90*CA90)/100)</f>
        <v>87.28</v>
      </c>
      <c r="DC90" t="s">
        <v>3</v>
      </c>
      <c r="DD90" t="s">
        <v>163</v>
      </c>
      <c r="DE90" t="s">
        <v>163</v>
      </c>
      <c r="DF90" t="s">
        <v>163</v>
      </c>
      <c r="DG90" t="s">
        <v>163</v>
      </c>
      <c r="DH90" t="s">
        <v>3</v>
      </c>
      <c r="DI90" t="s">
        <v>163</v>
      </c>
      <c r="DJ90" t="s">
        <v>163</v>
      </c>
      <c r="DK90" t="s">
        <v>3</v>
      </c>
      <c r="DL90" t="s">
        <v>3</v>
      </c>
      <c r="DM90" t="s">
        <v>3</v>
      </c>
      <c r="DN90">
        <v>0</v>
      </c>
      <c r="DO90">
        <v>0</v>
      </c>
      <c r="DP90">
        <v>1</v>
      </c>
      <c r="DQ90">
        <v>1</v>
      </c>
      <c r="DU90">
        <v>16987630</v>
      </c>
      <c r="DV90" t="s">
        <v>31</v>
      </c>
      <c r="DW90" t="s">
        <v>31</v>
      </c>
      <c r="DX90">
        <v>10</v>
      </c>
      <c r="DZ90" t="s">
        <v>3</v>
      </c>
      <c r="EA90" t="s">
        <v>3</v>
      </c>
      <c r="EB90" t="s">
        <v>3</v>
      </c>
      <c r="EC90" t="s">
        <v>3</v>
      </c>
      <c r="EE90">
        <v>1441815344</v>
      </c>
      <c r="EF90">
        <v>1</v>
      </c>
      <c r="EG90" t="s">
        <v>21</v>
      </c>
      <c r="EH90">
        <v>0</v>
      </c>
      <c r="EI90" t="s">
        <v>3</v>
      </c>
      <c r="EJ90">
        <v>4</v>
      </c>
      <c r="EK90">
        <v>0</v>
      </c>
      <c r="EL90" t="s">
        <v>22</v>
      </c>
      <c r="EM90" t="s">
        <v>23</v>
      </c>
      <c r="EO90" t="s">
        <v>3</v>
      </c>
      <c r="EQ90">
        <v>1024</v>
      </c>
      <c r="ER90">
        <v>207.81</v>
      </c>
      <c r="ES90">
        <v>0</v>
      </c>
      <c r="ET90">
        <v>0</v>
      </c>
      <c r="EU90">
        <v>0</v>
      </c>
      <c r="EV90">
        <v>207.81</v>
      </c>
      <c r="EW90">
        <v>0.41</v>
      </c>
      <c r="EX90">
        <v>0</v>
      </c>
      <c r="EY90">
        <v>0</v>
      </c>
      <c r="FQ90">
        <v>0</v>
      </c>
      <c r="FR90">
        <f>ROUND(IF(BI90=3,GM90,0),2)</f>
        <v>0</v>
      </c>
      <c r="FS90">
        <v>0</v>
      </c>
      <c r="FX90">
        <v>70</v>
      </c>
      <c r="FY90">
        <v>10</v>
      </c>
      <c r="GA90" t="s">
        <v>3</v>
      </c>
      <c r="GD90">
        <v>0</v>
      </c>
      <c r="GF90">
        <v>1497006217</v>
      </c>
      <c r="GG90">
        <v>2</v>
      </c>
      <c r="GH90">
        <v>1</v>
      </c>
      <c r="GI90">
        <v>-2</v>
      </c>
      <c r="GJ90">
        <v>0</v>
      </c>
      <c r="GK90">
        <f>ROUND(R90*(R12)/100,2)</f>
        <v>0</v>
      </c>
      <c r="GL90">
        <f>ROUND(IF(AND(BH90=3,BI90=3,FS90&lt;&gt;0),P90,0),2)</f>
        <v>0</v>
      </c>
      <c r="GM90">
        <f>ROUND(O90+X90+Y90+GK90,2)+GX90</f>
        <v>1571.04</v>
      </c>
      <c r="GN90">
        <f>IF(OR(BI90=0,BI90=1),GM90-GX90,0)</f>
        <v>0</v>
      </c>
      <c r="GO90">
        <f>IF(BI90=2,GM90-GX90,0)</f>
        <v>0</v>
      </c>
      <c r="GP90">
        <f>IF(BI90=4,GM90-GX90,0)</f>
        <v>1571.04</v>
      </c>
      <c r="GR90">
        <v>0</v>
      </c>
      <c r="GS90">
        <v>3</v>
      </c>
      <c r="GT90">
        <v>0</v>
      </c>
      <c r="GU90" t="s">
        <v>3</v>
      </c>
      <c r="GV90">
        <f>ROUND((GT90),6)</f>
        <v>0</v>
      </c>
      <c r="GW90">
        <v>1</v>
      </c>
      <c r="GX90">
        <f>ROUND(HC90*I90,2)</f>
        <v>0</v>
      </c>
      <c r="HA90">
        <v>0</v>
      </c>
      <c r="HB90">
        <v>0</v>
      </c>
      <c r="HC90">
        <f>GV90*GW90</f>
        <v>0</v>
      </c>
      <c r="HE90" t="s">
        <v>3</v>
      </c>
      <c r="HF90" t="s">
        <v>3</v>
      </c>
      <c r="HM90" t="s">
        <v>3</v>
      </c>
      <c r="HN90" t="s">
        <v>3</v>
      </c>
      <c r="HO90" t="s">
        <v>3</v>
      </c>
      <c r="HP90" t="s">
        <v>3</v>
      </c>
      <c r="HQ90" t="s">
        <v>3</v>
      </c>
      <c r="IK90">
        <v>0</v>
      </c>
    </row>
    <row r="92" spans="1:245" x14ac:dyDescent="0.2">
      <c r="A92" s="2">
        <v>51</v>
      </c>
      <c r="B92" s="2">
        <f>B84</f>
        <v>1</v>
      </c>
      <c r="C92" s="2">
        <f>A84</f>
        <v>5</v>
      </c>
      <c r="D92" s="2">
        <f>ROW(A84)</f>
        <v>84</v>
      </c>
      <c r="E92" s="2"/>
      <c r="F92" s="2" t="str">
        <f>IF(F84&lt;&gt;"",F84,"")</f>
        <v>Новый подраздел</v>
      </c>
      <c r="G92" s="2" t="str">
        <f>IF(G84&lt;&gt;"",G84,"")</f>
        <v>Отопление</v>
      </c>
      <c r="H92" s="2">
        <v>0</v>
      </c>
      <c r="I92" s="2"/>
      <c r="J92" s="2"/>
      <c r="K92" s="2"/>
      <c r="L92" s="2"/>
      <c r="M92" s="2"/>
      <c r="N92" s="2"/>
      <c r="O92" s="2">
        <f t="shared" ref="O92:T92" si="77">ROUND(AB92,2)</f>
        <v>1244.32</v>
      </c>
      <c r="P92" s="2">
        <f t="shared" si="77"/>
        <v>30.8</v>
      </c>
      <c r="Q92" s="2">
        <f t="shared" si="77"/>
        <v>3.22</v>
      </c>
      <c r="R92" s="2">
        <f t="shared" si="77"/>
        <v>0</v>
      </c>
      <c r="S92" s="2">
        <f t="shared" si="77"/>
        <v>1210.3</v>
      </c>
      <c r="T92" s="2">
        <f t="shared" si="77"/>
        <v>0</v>
      </c>
      <c r="U92" s="2">
        <f>AH92</f>
        <v>1.9600000000000002</v>
      </c>
      <c r="V92" s="2">
        <f>AI92</f>
        <v>0</v>
      </c>
      <c r="W92" s="2">
        <f>ROUND(AJ92,2)</f>
        <v>0</v>
      </c>
      <c r="X92" s="2">
        <f>ROUND(AK92,2)</f>
        <v>847.21</v>
      </c>
      <c r="Y92" s="2">
        <f>ROUND(AL92,2)</f>
        <v>121.03</v>
      </c>
      <c r="Z92" s="2"/>
      <c r="AA92" s="2"/>
      <c r="AB92" s="2">
        <f>ROUND(SUMIF(AA88:AA90,"=1471718271",O88:O90),2)</f>
        <v>1244.32</v>
      </c>
      <c r="AC92" s="2">
        <f>ROUND(SUMIF(AA88:AA90,"=1471718271",P88:P90),2)</f>
        <v>30.8</v>
      </c>
      <c r="AD92" s="2">
        <f>ROUND(SUMIF(AA88:AA90,"=1471718271",Q88:Q90),2)</f>
        <v>3.22</v>
      </c>
      <c r="AE92" s="2">
        <f>ROUND(SUMIF(AA88:AA90,"=1471718271",R88:R90),2)</f>
        <v>0</v>
      </c>
      <c r="AF92" s="2">
        <f>ROUND(SUMIF(AA88:AA90,"=1471718271",S88:S90),2)</f>
        <v>1210.3</v>
      </c>
      <c r="AG92" s="2">
        <f>ROUND(SUMIF(AA88:AA90,"=1471718271",T88:T90),2)</f>
        <v>0</v>
      </c>
      <c r="AH92" s="2">
        <f>SUMIF(AA88:AA90,"=1471718271",U88:U90)</f>
        <v>1.9600000000000002</v>
      </c>
      <c r="AI92" s="2">
        <f>SUMIF(AA88:AA90,"=1471718271",V88:V90)</f>
        <v>0</v>
      </c>
      <c r="AJ92" s="2">
        <f>ROUND(SUMIF(AA88:AA90,"=1471718271",W88:W90),2)</f>
        <v>0</v>
      </c>
      <c r="AK92" s="2">
        <f>ROUND(SUMIF(AA88:AA90,"=1471718271",X88:X90),2)</f>
        <v>847.21</v>
      </c>
      <c r="AL92" s="2">
        <f>ROUND(SUMIF(AA88:AA90,"=1471718271",Y88:Y90),2)</f>
        <v>121.03</v>
      </c>
      <c r="AM92" s="2"/>
      <c r="AN92" s="2"/>
      <c r="AO92" s="2">
        <f t="shared" ref="AO92:BD92" si="78">ROUND(BX92,2)</f>
        <v>0</v>
      </c>
      <c r="AP92" s="2">
        <f t="shared" si="78"/>
        <v>0</v>
      </c>
      <c r="AQ92" s="2">
        <f t="shared" si="78"/>
        <v>0</v>
      </c>
      <c r="AR92" s="2">
        <f t="shared" si="78"/>
        <v>2212.56</v>
      </c>
      <c r="AS92" s="2">
        <f t="shared" si="78"/>
        <v>0</v>
      </c>
      <c r="AT92" s="2">
        <f t="shared" si="78"/>
        <v>0</v>
      </c>
      <c r="AU92" s="2">
        <f t="shared" si="78"/>
        <v>2212.56</v>
      </c>
      <c r="AV92" s="2">
        <f t="shared" si="78"/>
        <v>30.8</v>
      </c>
      <c r="AW92" s="2">
        <f t="shared" si="78"/>
        <v>30.8</v>
      </c>
      <c r="AX92" s="2">
        <f t="shared" si="78"/>
        <v>0</v>
      </c>
      <c r="AY92" s="2">
        <f t="shared" si="78"/>
        <v>30.8</v>
      </c>
      <c r="AZ92" s="2">
        <f t="shared" si="78"/>
        <v>0</v>
      </c>
      <c r="BA92" s="2">
        <f t="shared" si="78"/>
        <v>0</v>
      </c>
      <c r="BB92" s="2">
        <f t="shared" si="78"/>
        <v>0</v>
      </c>
      <c r="BC92" s="2">
        <f t="shared" si="78"/>
        <v>0</v>
      </c>
      <c r="BD92" s="2">
        <f t="shared" si="78"/>
        <v>0</v>
      </c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>
        <f>ROUND(SUMIF(AA88:AA90,"=1471718271",FQ88:FQ90),2)</f>
        <v>0</v>
      </c>
      <c r="BY92" s="2">
        <f>ROUND(SUMIF(AA88:AA90,"=1471718271",FR88:FR90),2)</f>
        <v>0</v>
      </c>
      <c r="BZ92" s="2">
        <f>ROUND(SUMIF(AA88:AA90,"=1471718271",GL88:GL90),2)</f>
        <v>0</v>
      </c>
      <c r="CA92" s="2">
        <f>ROUND(SUMIF(AA88:AA90,"=1471718271",GM88:GM90),2)</f>
        <v>2212.56</v>
      </c>
      <c r="CB92" s="2">
        <f>ROUND(SUMIF(AA88:AA90,"=1471718271",GN88:GN90),2)</f>
        <v>0</v>
      </c>
      <c r="CC92" s="2">
        <f>ROUND(SUMIF(AA88:AA90,"=1471718271",GO88:GO90),2)</f>
        <v>0</v>
      </c>
      <c r="CD92" s="2">
        <f>ROUND(SUMIF(AA88:AA90,"=1471718271",GP88:GP90),2)</f>
        <v>2212.56</v>
      </c>
      <c r="CE92" s="2">
        <f>AC92-BX92</f>
        <v>30.8</v>
      </c>
      <c r="CF92" s="2">
        <f>AC92-BY92</f>
        <v>30.8</v>
      </c>
      <c r="CG92" s="2">
        <f>BX92-BZ92</f>
        <v>0</v>
      </c>
      <c r="CH92" s="2">
        <f>AC92-BX92-BY92+BZ92</f>
        <v>30.8</v>
      </c>
      <c r="CI92" s="2">
        <f>BY92-BZ92</f>
        <v>0</v>
      </c>
      <c r="CJ92" s="2">
        <f>ROUND(SUMIF(AA88:AA90,"=1471718271",GX88:GX90),2)</f>
        <v>0</v>
      </c>
      <c r="CK92" s="2">
        <f>ROUND(SUMIF(AA88:AA90,"=1471718271",GY88:GY90),2)</f>
        <v>0</v>
      </c>
      <c r="CL92" s="2">
        <f>ROUND(SUMIF(AA88:AA90,"=1471718271",GZ88:GZ90),2)</f>
        <v>0</v>
      </c>
      <c r="CM92" s="2">
        <f>ROUND(SUMIF(AA88:AA90,"=1471718271",HD88:HD90),2)</f>
        <v>0</v>
      </c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  <c r="DF92" s="2"/>
      <c r="DG92" s="3"/>
      <c r="DH92" s="3"/>
      <c r="DI92" s="3"/>
      <c r="DJ92" s="3"/>
      <c r="DK92" s="3"/>
      <c r="DL92" s="3"/>
      <c r="DM92" s="3"/>
      <c r="DN92" s="3"/>
      <c r="DO92" s="3"/>
      <c r="DP92" s="3"/>
      <c r="DQ92" s="3"/>
      <c r="DR92" s="3"/>
      <c r="DS92" s="3"/>
      <c r="DT92" s="3"/>
      <c r="DU92" s="3"/>
      <c r="DV92" s="3"/>
      <c r="DW92" s="3"/>
      <c r="DX92" s="3"/>
      <c r="DY92" s="3"/>
      <c r="DZ92" s="3"/>
      <c r="EA92" s="3"/>
      <c r="EB92" s="3"/>
      <c r="EC92" s="3"/>
      <c r="ED92" s="3"/>
      <c r="EE92" s="3"/>
      <c r="EF92" s="3"/>
      <c r="EG92" s="3"/>
      <c r="EH92" s="3"/>
      <c r="EI92" s="3"/>
      <c r="EJ92" s="3"/>
      <c r="EK92" s="3"/>
      <c r="EL92" s="3"/>
      <c r="EM92" s="3"/>
      <c r="EN92" s="3"/>
      <c r="EO92" s="3"/>
      <c r="EP92" s="3"/>
      <c r="EQ92" s="3"/>
      <c r="ER92" s="3"/>
      <c r="ES92" s="3"/>
      <c r="ET92" s="3"/>
      <c r="EU92" s="3"/>
      <c r="EV92" s="3"/>
      <c r="EW92" s="3"/>
      <c r="EX92" s="3"/>
      <c r="EY92" s="3"/>
      <c r="EZ92" s="3"/>
      <c r="FA92" s="3"/>
      <c r="FB92" s="3"/>
      <c r="FC92" s="3"/>
      <c r="FD92" s="3"/>
      <c r="FE92" s="3"/>
      <c r="FF92" s="3"/>
      <c r="FG92" s="3"/>
      <c r="FH92" s="3"/>
      <c r="FI92" s="3"/>
      <c r="FJ92" s="3"/>
      <c r="FK92" s="3"/>
      <c r="FL92" s="3"/>
      <c r="FM92" s="3"/>
      <c r="FN92" s="3"/>
      <c r="FO92" s="3"/>
      <c r="FP92" s="3"/>
      <c r="FQ92" s="3"/>
      <c r="FR92" s="3"/>
      <c r="FS92" s="3"/>
      <c r="FT92" s="3"/>
      <c r="FU92" s="3"/>
      <c r="FV92" s="3"/>
      <c r="FW92" s="3"/>
      <c r="FX92" s="3"/>
      <c r="FY92" s="3"/>
      <c r="FZ92" s="3"/>
      <c r="GA92" s="3"/>
      <c r="GB92" s="3"/>
      <c r="GC92" s="3"/>
      <c r="GD92" s="3"/>
      <c r="GE92" s="3"/>
      <c r="GF92" s="3"/>
      <c r="GG92" s="3"/>
      <c r="GH92" s="3"/>
      <c r="GI92" s="3"/>
      <c r="GJ92" s="3"/>
      <c r="GK92" s="3"/>
      <c r="GL92" s="3"/>
      <c r="GM92" s="3"/>
      <c r="GN92" s="3"/>
      <c r="GO92" s="3"/>
      <c r="GP92" s="3"/>
      <c r="GQ92" s="3"/>
      <c r="GR92" s="3"/>
      <c r="GS92" s="3"/>
      <c r="GT92" s="3"/>
      <c r="GU92" s="3"/>
      <c r="GV92" s="3"/>
      <c r="GW92" s="3"/>
      <c r="GX92" s="3">
        <v>0</v>
      </c>
    </row>
    <row r="94" spans="1:245" x14ac:dyDescent="0.2">
      <c r="A94" s="4">
        <v>50</v>
      </c>
      <c r="B94" s="4">
        <v>0</v>
      </c>
      <c r="C94" s="4">
        <v>0</v>
      </c>
      <c r="D94" s="4">
        <v>1</v>
      </c>
      <c r="E94" s="4">
        <v>201</v>
      </c>
      <c r="F94" s="4">
        <f>ROUND(Source!O92,O94)</f>
        <v>1244.32</v>
      </c>
      <c r="G94" s="4" t="s">
        <v>98</v>
      </c>
      <c r="H94" s="4" t="s">
        <v>99</v>
      </c>
      <c r="I94" s="4"/>
      <c r="J94" s="4"/>
      <c r="K94" s="4">
        <v>201</v>
      </c>
      <c r="L94" s="4">
        <v>1</v>
      </c>
      <c r="M94" s="4">
        <v>3</v>
      </c>
      <c r="N94" s="4" t="s">
        <v>3</v>
      </c>
      <c r="O94" s="4">
        <v>2</v>
      </c>
      <c r="P94" s="4"/>
      <c r="Q94" s="4"/>
      <c r="R94" s="4"/>
      <c r="S94" s="4"/>
      <c r="T94" s="4"/>
      <c r="U94" s="4"/>
      <c r="V94" s="4"/>
      <c r="W94" s="4">
        <v>1244.32</v>
      </c>
      <c r="X94" s="4">
        <v>1</v>
      </c>
      <c r="Y94" s="4">
        <v>1244.32</v>
      </c>
      <c r="Z94" s="4"/>
      <c r="AA94" s="4"/>
      <c r="AB94" s="4"/>
    </row>
    <row r="95" spans="1:245" x14ac:dyDescent="0.2">
      <c r="A95" s="4">
        <v>50</v>
      </c>
      <c r="B95" s="4">
        <v>0</v>
      </c>
      <c r="C95" s="4">
        <v>0</v>
      </c>
      <c r="D95" s="4">
        <v>1</v>
      </c>
      <c r="E95" s="4">
        <v>202</v>
      </c>
      <c r="F95" s="4">
        <f>ROUND(Source!P92,O95)</f>
        <v>30.8</v>
      </c>
      <c r="G95" s="4" t="s">
        <v>100</v>
      </c>
      <c r="H95" s="4" t="s">
        <v>101</v>
      </c>
      <c r="I95" s="4"/>
      <c r="J95" s="4"/>
      <c r="K95" s="4">
        <v>202</v>
      </c>
      <c r="L95" s="4">
        <v>2</v>
      </c>
      <c r="M95" s="4">
        <v>3</v>
      </c>
      <c r="N95" s="4" t="s">
        <v>3</v>
      </c>
      <c r="O95" s="4">
        <v>2</v>
      </c>
      <c r="P95" s="4"/>
      <c r="Q95" s="4"/>
      <c r="R95" s="4"/>
      <c r="S95" s="4"/>
      <c r="T95" s="4"/>
      <c r="U95" s="4"/>
      <c r="V95" s="4"/>
      <c r="W95" s="4">
        <v>30.8</v>
      </c>
      <c r="X95" s="4">
        <v>1</v>
      </c>
      <c r="Y95" s="4">
        <v>30.8</v>
      </c>
      <c r="Z95" s="4"/>
      <c r="AA95" s="4"/>
      <c r="AB95" s="4"/>
    </row>
    <row r="96" spans="1:245" x14ac:dyDescent="0.2">
      <c r="A96" s="4">
        <v>50</v>
      </c>
      <c r="B96" s="4">
        <v>0</v>
      </c>
      <c r="C96" s="4">
        <v>0</v>
      </c>
      <c r="D96" s="4">
        <v>1</v>
      </c>
      <c r="E96" s="4">
        <v>222</v>
      </c>
      <c r="F96" s="4">
        <f>ROUND(Source!AO92,O96)</f>
        <v>0</v>
      </c>
      <c r="G96" s="4" t="s">
        <v>102</v>
      </c>
      <c r="H96" s="4" t="s">
        <v>103</v>
      </c>
      <c r="I96" s="4"/>
      <c r="J96" s="4"/>
      <c r="K96" s="4">
        <v>222</v>
      </c>
      <c r="L96" s="4">
        <v>3</v>
      </c>
      <c r="M96" s="4">
        <v>3</v>
      </c>
      <c r="N96" s="4" t="s">
        <v>3</v>
      </c>
      <c r="O96" s="4">
        <v>2</v>
      </c>
      <c r="P96" s="4"/>
      <c r="Q96" s="4"/>
      <c r="R96" s="4"/>
      <c r="S96" s="4"/>
      <c r="T96" s="4"/>
      <c r="U96" s="4"/>
      <c r="V96" s="4"/>
      <c r="W96" s="4">
        <v>0</v>
      </c>
      <c r="X96" s="4">
        <v>1</v>
      </c>
      <c r="Y96" s="4">
        <v>0</v>
      </c>
      <c r="Z96" s="4"/>
      <c r="AA96" s="4"/>
      <c r="AB96" s="4"/>
    </row>
    <row r="97" spans="1:28" x14ac:dyDescent="0.2">
      <c r="A97" s="4">
        <v>50</v>
      </c>
      <c r="B97" s="4">
        <v>0</v>
      </c>
      <c r="C97" s="4">
        <v>0</v>
      </c>
      <c r="D97" s="4">
        <v>1</v>
      </c>
      <c r="E97" s="4">
        <v>225</v>
      </c>
      <c r="F97" s="4">
        <f>ROUND(Source!AV92,O97)</f>
        <v>30.8</v>
      </c>
      <c r="G97" s="4" t="s">
        <v>104</v>
      </c>
      <c r="H97" s="4" t="s">
        <v>105</v>
      </c>
      <c r="I97" s="4"/>
      <c r="J97" s="4"/>
      <c r="K97" s="4">
        <v>225</v>
      </c>
      <c r="L97" s="4">
        <v>4</v>
      </c>
      <c r="M97" s="4">
        <v>3</v>
      </c>
      <c r="N97" s="4" t="s">
        <v>3</v>
      </c>
      <c r="O97" s="4">
        <v>2</v>
      </c>
      <c r="P97" s="4"/>
      <c r="Q97" s="4"/>
      <c r="R97" s="4"/>
      <c r="S97" s="4"/>
      <c r="T97" s="4"/>
      <c r="U97" s="4"/>
      <c r="V97" s="4"/>
      <c r="W97" s="4">
        <v>30.8</v>
      </c>
      <c r="X97" s="4">
        <v>1</v>
      </c>
      <c r="Y97" s="4">
        <v>30.8</v>
      </c>
      <c r="Z97" s="4"/>
      <c r="AA97" s="4"/>
      <c r="AB97" s="4"/>
    </row>
    <row r="98" spans="1:28" x14ac:dyDescent="0.2">
      <c r="A98" s="4">
        <v>50</v>
      </c>
      <c r="B98" s="4">
        <v>0</v>
      </c>
      <c r="C98" s="4">
        <v>0</v>
      </c>
      <c r="D98" s="4">
        <v>1</v>
      </c>
      <c r="E98" s="4">
        <v>226</v>
      </c>
      <c r="F98" s="4">
        <f>ROUND(Source!AW92,O98)</f>
        <v>30.8</v>
      </c>
      <c r="G98" s="4" t="s">
        <v>106</v>
      </c>
      <c r="H98" s="4" t="s">
        <v>107</v>
      </c>
      <c r="I98" s="4"/>
      <c r="J98" s="4"/>
      <c r="K98" s="4">
        <v>226</v>
      </c>
      <c r="L98" s="4">
        <v>5</v>
      </c>
      <c r="M98" s="4">
        <v>3</v>
      </c>
      <c r="N98" s="4" t="s">
        <v>3</v>
      </c>
      <c r="O98" s="4">
        <v>2</v>
      </c>
      <c r="P98" s="4"/>
      <c r="Q98" s="4"/>
      <c r="R98" s="4"/>
      <c r="S98" s="4"/>
      <c r="T98" s="4"/>
      <c r="U98" s="4"/>
      <c r="V98" s="4"/>
      <c r="W98" s="4">
        <v>30.8</v>
      </c>
      <c r="X98" s="4">
        <v>1</v>
      </c>
      <c r="Y98" s="4">
        <v>30.8</v>
      </c>
      <c r="Z98" s="4"/>
      <c r="AA98" s="4"/>
      <c r="AB98" s="4"/>
    </row>
    <row r="99" spans="1:28" x14ac:dyDescent="0.2">
      <c r="A99" s="4">
        <v>50</v>
      </c>
      <c r="B99" s="4">
        <v>0</v>
      </c>
      <c r="C99" s="4">
        <v>0</v>
      </c>
      <c r="D99" s="4">
        <v>1</v>
      </c>
      <c r="E99" s="4">
        <v>227</v>
      </c>
      <c r="F99" s="4">
        <f>ROUND(Source!AX92,O99)</f>
        <v>0</v>
      </c>
      <c r="G99" s="4" t="s">
        <v>108</v>
      </c>
      <c r="H99" s="4" t="s">
        <v>109</v>
      </c>
      <c r="I99" s="4"/>
      <c r="J99" s="4"/>
      <c r="K99" s="4">
        <v>227</v>
      </c>
      <c r="L99" s="4">
        <v>6</v>
      </c>
      <c r="M99" s="4">
        <v>3</v>
      </c>
      <c r="N99" s="4" t="s">
        <v>3</v>
      </c>
      <c r="O99" s="4">
        <v>2</v>
      </c>
      <c r="P99" s="4"/>
      <c r="Q99" s="4"/>
      <c r="R99" s="4"/>
      <c r="S99" s="4"/>
      <c r="T99" s="4"/>
      <c r="U99" s="4"/>
      <c r="V99" s="4"/>
      <c r="W99" s="4">
        <v>0</v>
      </c>
      <c r="X99" s="4">
        <v>1</v>
      </c>
      <c r="Y99" s="4">
        <v>0</v>
      </c>
      <c r="Z99" s="4"/>
      <c r="AA99" s="4"/>
      <c r="AB99" s="4"/>
    </row>
    <row r="100" spans="1:28" x14ac:dyDescent="0.2">
      <c r="A100" s="4">
        <v>50</v>
      </c>
      <c r="B100" s="4">
        <v>0</v>
      </c>
      <c r="C100" s="4">
        <v>0</v>
      </c>
      <c r="D100" s="4">
        <v>1</v>
      </c>
      <c r="E100" s="4">
        <v>228</v>
      </c>
      <c r="F100" s="4">
        <f>ROUND(Source!AY92,O100)</f>
        <v>30.8</v>
      </c>
      <c r="G100" s="4" t="s">
        <v>110</v>
      </c>
      <c r="H100" s="4" t="s">
        <v>111</v>
      </c>
      <c r="I100" s="4"/>
      <c r="J100" s="4"/>
      <c r="K100" s="4">
        <v>228</v>
      </c>
      <c r="L100" s="4">
        <v>7</v>
      </c>
      <c r="M100" s="4">
        <v>3</v>
      </c>
      <c r="N100" s="4" t="s">
        <v>3</v>
      </c>
      <c r="O100" s="4">
        <v>2</v>
      </c>
      <c r="P100" s="4"/>
      <c r="Q100" s="4"/>
      <c r="R100" s="4"/>
      <c r="S100" s="4"/>
      <c r="T100" s="4"/>
      <c r="U100" s="4"/>
      <c r="V100" s="4"/>
      <c r="W100" s="4">
        <v>30.8</v>
      </c>
      <c r="X100" s="4">
        <v>1</v>
      </c>
      <c r="Y100" s="4">
        <v>30.8</v>
      </c>
      <c r="Z100" s="4"/>
      <c r="AA100" s="4"/>
      <c r="AB100" s="4"/>
    </row>
    <row r="101" spans="1:28" x14ac:dyDescent="0.2">
      <c r="A101" s="4">
        <v>50</v>
      </c>
      <c r="B101" s="4">
        <v>0</v>
      </c>
      <c r="C101" s="4">
        <v>0</v>
      </c>
      <c r="D101" s="4">
        <v>1</v>
      </c>
      <c r="E101" s="4">
        <v>216</v>
      </c>
      <c r="F101" s="4">
        <f>ROUND(Source!AP92,O101)</f>
        <v>0</v>
      </c>
      <c r="G101" s="4" t="s">
        <v>112</v>
      </c>
      <c r="H101" s="4" t="s">
        <v>113</v>
      </c>
      <c r="I101" s="4"/>
      <c r="J101" s="4"/>
      <c r="K101" s="4">
        <v>216</v>
      </c>
      <c r="L101" s="4">
        <v>8</v>
      </c>
      <c r="M101" s="4">
        <v>3</v>
      </c>
      <c r="N101" s="4" t="s">
        <v>3</v>
      </c>
      <c r="O101" s="4">
        <v>2</v>
      </c>
      <c r="P101" s="4"/>
      <c r="Q101" s="4"/>
      <c r="R101" s="4"/>
      <c r="S101" s="4"/>
      <c r="T101" s="4"/>
      <c r="U101" s="4"/>
      <c r="V101" s="4"/>
      <c r="W101" s="4">
        <v>0</v>
      </c>
      <c r="X101" s="4">
        <v>1</v>
      </c>
      <c r="Y101" s="4">
        <v>0</v>
      </c>
      <c r="Z101" s="4"/>
      <c r="AA101" s="4"/>
      <c r="AB101" s="4"/>
    </row>
    <row r="102" spans="1:28" x14ac:dyDescent="0.2">
      <c r="A102" s="4">
        <v>50</v>
      </c>
      <c r="B102" s="4">
        <v>0</v>
      </c>
      <c r="C102" s="4">
        <v>0</v>
      </c>
      <c r="D102" s="4">
        <v>1</v>
      </c>
      <c r="E102" s="4">
        <v>223</v>
      </c>
      <c r="F102" s="4">
        <f>ROUND(Source!AQ92,O102)</f>
        <v>0</v>
      </c>
      <c r="G102" s="4" t="s">
        <v>114</v>
      </c>
      <c r="H102" s="4" t="s">
        <v>115</v>
      </c>
      <c r="I102" s="4"/>
      <c r="J102" s="4"/>
      <c r="K102" s="4">
        <v>223</v>
      </c>
      <c r="L102" s="4">
        <v>9</v>
      </c>
      <c r="M102" s="4">
        <v>3</v>
      </c>
      <c r="N102" s="4" t="s">
        <v>3</v>
      </c>
      <c r="O102" s="4">
        <v>2</v>
      </c>
      <c r="P102" s="4"/>
      <c r="Q102" s="4"/>
      <c r="R102" s="4"/>
      <c r="S102" s="4"/>
      <c r="T102" s="4"/>
      <c r="U102" s="4"/>
      <c r="V102" s="4"/>
      <c r="W102" s="4">
        <v>0</v>
      </c>
      <c r="X102" s="4">
        <v>1</v>
      </c>
      <c r="Y102" s="4">
        <v>0</v>
      </c>
      <c r="Z102" s="4"/>
      <c r="AA102" s="4"/>
      <c r="AB102" s="4"/>
    </row>
    <row r="103" spans="1:28" x14ac:dyDescent="0.2">
      <c r="A103" s="4">
        <v>50</v>
      </c>
      <c r="B103" s="4">
        <v>0</v>
      </c>
      <c r="C103" s="4">
        <v>0</v>
      </c>
      <c r="D103" s="4">
        <v>1</v>
      </c>
      <c r="E103" s="4">
        <v>229</v>
      </c>
      <c r="F103" s="4">
        <f>ROUND(Source!AZ92,O103)</f>
        <v>0</v>
      </c>
      <c r="G103" s="4" t="s">
        <v>116</v>
      </c>
      <c r="H103" s="4" t="s">
        <v>117</v>
      </c>
      <c r="I103" s="4"/>
      <c r="J103" s="4"/>
      <c r="K103" s="4">
        <v>229</v>
      </c>
      <c r="L103" s="4">
        <v>10</v>
      </c>
      <c r="M103" s="4">
        <v>3</v>
      </c>
      <c r="N103" s="4" t="s">
        <v>3</v>
      </c>
      <c r="O103" s="4">
        <v>2</v>
      </c>
      <c r="P103" s="4"/>
      <c r="Q103" s="4"/>
      <c r="R103" s="4"/>
      <c r="S103" s="4"/>
      <c r="T103" s="4"/>
      <c r="U103" s="4"/>
      <c r="V103" s="4"/>
      <c r="W103" s="4">
        <v>0</v>
      </c>
      <c r="X103" s="4">
        <v>1</v>
      </c>
      <c r="Y103" s="4">
        <v>0</v>
      </c>
      <c r="Z103" s="4"/>
      <c r="AA103" s="4"/>
      <c r="AB103" s="4"/>
    </row>
    <row r="104" spans="1:28" x14ac:dyDescent="0.2">
      <c r="A104" s="4">
        <v>50</v>
      </c>
      <c r="B104" s="4">
        <v>0</v>
      </c>
      <c r="C104" s="4">
        <v>0</v>
      </c>
      <c r="D104" s="4">
        <v>1</v>
      </c>
      <c r="E104" s="4">
        <v>203</v>
      </c>
      <c r="F104" s="4">
        <f>ROUND(Source!Q92,O104)</f>
        <v>3.22</v>
      </c>
      <c r="G104" s="4" t="s">
        <v>118</v>
      </c>
      <c r="H104" s="4" t="s">
        <v>119</v>
      </c>
      <c r="I104" s="4"/>
      <c r="J104" s="4"/>
      <c r="K104" s="4">
        <v>203</v>
      </c>
      <c r="L104" s="4">
        <v>11</v>
      </c>
      <c r="M104" s="4">
        <v>3</v>
      </c>
      <c r="N104" s="4" t="s">
        <v>3</v>
      </c>
      <c r="O104" s="4">
        <v>2</v>
      </c>
      <c r="P104" s="4"/>
      <c r="Q104" s="4"/>
      <c r="R104" s="4"/>
      <c r="S104" s="4"/>
      <c r="T104" s="4"/>
      <c r="U104" s="4"/>
      <c r="V104" s="4"/>
      <c r="W104" s="4">
        <v>3.22</v>
      </c>
      <c r="X104" s="4">
        <v>1</v>
      </c>
      <c r="Y104" s="4">
        <v>3.22</v>
      </c>
      <c r="Z104" s="4"/>
      <c r="AA104" s="4"/>
      <c r="AB104" s="4"/>
    </row>
    <row r="105" spans="1:28" x14ac:dyDescent="0.2">
      <c r="A105" s="4">
        <v>50</v>
      </c>
      <c r="B105" s="4">
        <v>0</v>
      </c>
      <c r="C105" s="4">
        <v>0</v>
      </c>
      <c r="D105" s="4">
        <v>1</v>
      </c>
      <c r="E105" s="4">
        <v>231</v>
      </c>
      <c r="F105" s="4">
        <f>ROUND(Source!BB92,O105)</f>
        <v>0</v>
      </c>
      <c r="G105" s="4" t="s">
        <v>120</v>
      </c>
      <c r="H105" s="4" t="s">
        <v>121</v>
      </c>
      <c r="I105" s="4"/>
      <c r="J105" s="4"/>
      <c r="K105" s="4">
        <v>231</v>
      </c>
      <c r="L105" s="4">
        <v>12</v>
      </c>
      <c r="M105" s="4">
        <v>3</v>
      </c>
      <c r="N105" s="4" t="s">
        <v>3</v>
      </c>
      <c r="O105" s="4">
        <v>2</v>
      </c>
      <c r="P105" s="4"/>
      <c r="Q105" s="4"/>
      <c r="R105" s="4"/>
      <c r="S105" s="4"/>
      <c r="T105" s="4"/>
      <c r="U105" s="4"/>
      <c r="V105" s="4"/>
      <c r="W105" s="4">
        <v>0</v>
      </c>
      <c r="X105" s="4">
        <v>1</v>
      </c>
      <c r="Y105" s="4">
        <v>0</v>
      </c>
      <c r="Z105" s="4"/>
      <c r="AA105" s="4"/>
      <c r="AB105" s="4"/>
    </row>
    <row r="106" spans="1:28" x14ac:dyDescent="0.2">
      <c r="A106" s="4">
        <v>50</v>
      </c>
      <c r="B106" s="4">
        <v>0</v>
      </c>
      <c r="C106" s="4">
        <v>0</v>
      </c>
      <c r="D106" s="4">
        <v>1</v>
      </c>
      <c r="E106" s="4">
        <v>204</v>
      </c>
      <c r="F106" s="4">
        <f>ROUND(Source!R92,O106)</f>
        <v>0</v>
      </c>
      <c r="G106" s="4" t="s">
        <v>122</v>
      </c>
      <c r="H106" s="4" t="s">
        <v>123</v>
      </c>
      <c r="I106" s="4"/>
      <c r="J106" s="4"/>
      <c r="K106" s="4">
        <v>204</v>
      </c>
      <c r="L106" s="4">
        <v>13</v>
      </c>
      <c r="M106" s="4">
        <v>3</v>
      </c>
      <c r="N106" s="4" t="s">
        <v>3</v>
      </c>
      <c r="O106" s="4">
        <v>2</v>
      </c>
      <c r="P106" s="4"/>
      <c r="Q106" s="4"/>
      <c r="R106" s="4"/>
      <c r="S106" s="4"/>
      <c r="T106" s="4"/>
      <c r="U106" s="4"/>
      <c r="V106" s="4"/>
      <c r="W106" s="4">
        <v>0</v>
      </c>
      <c r="X106" s="4">
        <v>1</v>
      </c>
      <c r="Y106" s="4">
        <v>0</v>
      </c>
      <c r="Z106" s="4"/>
      <c r="AA106" s="4"/>
      <c r="AB106" s="4"/>
    </row>
    <row r="107" spans="1:28" x14ac:dyDescent="0.2">
      <c r="A107" s="4">
        <v>50</v>
      </c>
      <c r="B107" s="4">
        <v>0</v>
      </c>
      <c r="C107" s="4">
        <v>0</v>
      </c>
      <c r="D107" s="4">
        <v>1</v>
      </c>
      <c r="E107" s="4">
        <v>205</v>
      </c>
      <c r="F107" s="4">
        <f>ROUND(Source!S92,O107)</f>
        <v>1210.3</v>
      </c>
      <c r="G107" s="4" t="s">
        <v>124</v>
      </c>
      <c r="H107" s="4" t="s">
        <v>125</v>
      </c>
      <c r="I107" s="4"/>
      <c r="J107" s="4"/>
      <c r="K107" s="4">
        <v>205</v>
      </c>
      <c r="L107" s="4">
        <v>14</v>
      </c>
      <c r="M107" s="4">
        <v>3</v>
      </c>
      <c r="N107" s="4" t="s">
        <v>3</v>
      </c>
      <c r="O107" s="4">
        <v>2</v>
      </c>
      <c r="P107" s="4"/>
      <c r="Q107" s="4"/>
      <c r="R107" s="4"/>
      <c r="S107" s="4"/>
      <c r="T107" s="4"/>
      <c r="U107" s="4"/>
      <c r="V107" s="4"/>
      <c r="W107" s="4">
        <v>1210.3</v>
      </c>
      <c r="X107" s="4">
        <v>1</v>
      </c>
      <c r="Y107" s="4">
        <v>1210.3</v>
      </c>
      <c r="Z107" s="4"/>
      <c r="AA107" s="4"/>
      <c r="AB107" s="4"/>
    </row>
    <row r="108" spans="1:28" x14ac:dyDescent="0.2">
      <c r="A108" s="4">
        <v>50</v>
      </c>
      <c r="B108" s="4">
        <v>0</v>
      </c>
      <c r="C108" s="4">
        <v>0</v>
      </c>
      <c r="D108" s="4">
        <v>1</v>
      </c>
      <c r="E108" s="4">
        <v>232</v>
      </c>
      <c r="F108" s="4">
        <f>ROUND(Source!BC92,O108)</f>
        <v>0</v>
      </c>
      <c r="G108" s="4" t="s">
        <v>126</v>
      </c>
      <c r="H108" s="4" t="s">
        <v>127</v>
      </c>
      <c r="I108" s="4"/>
      <c r="J108" s="4"/>
      <c r="K108" s="4">
        <v>232</v>
      </c>
      <c r="L108" s="4">
        <v>15</v>
      </c>
      <c r="M108" s="4">
        <v>3</v>
      </c>
      <c r="N108" s="4" t="s">
        <v>3</v>
      </c>
      <c r="O108" s="4">
        <v>2</v>
      </c>
      <c r="P108" s="4"/>
      <c r="Q108" s="4"/>
      <c r="R108" s="4"/>
      <c r="S108" s="4"/>
      <c r="T108" s="4"/>
      <c r="U108" s="4"/>
      <c r="V108" s="4"/>
      <c r="W108" s="4">
        <v>0</v>
      </c>
      <c r="X108" s="4">
        <v>1</v>
      </c>
      <c r="Y108" s="4">
        <v>0</v>
      </c>
      <c r="Z108" s="4"/>
      <c r="AA108" s="4"/>
      <c r="AB108" s="4"/>
    </row>
    <row r="109" spans="1:28" x14ac:dyDescent="0.2">
      <c r="A109" s="4">
        <v>50</v>
      </c>
      <c r="B109" s="4">
        <v>0</v>
      </c>
      <c r="C109" s="4">
        <v>0</v>
      </c>
      <c r="D109" s="4">
        <v>1</v>
      </c>
      <c r="E109" s="4">
        <v>214</v>
      </c>
      <c r="F109" s="4">
        <f>ROUND(Source!AS92,O109)</f>
        <v>0</v>
      </c>
      <c r="G109" s="4" t="s">
        <v>128</v>
      </c>
      <c r="H109" s="4" t="s">
        <v>129</v>
      </c>
      <c r="I109" s="4"/>
      <c r="J109" s="4"/>
      <c r="K109" s="4">
        <v>214</v>
      </c>
      <c r="L109" s="4">
        <v>16</v>
      </c>
      <c r="M109" s="4">
        <v>3</v>
      </c>
      <c r="N109" s="4" t="s">
        <v>3</v>
      </c>
      <c r="O109" s="4">
        <v>2</v>
      </c>
      <c r="P109" s="4"/>
      <c r="Q109" s="4"/>
      <c r="R109" s="4"/>
      <c r="S109" s="4"/>
      <c r="T109" s="4"/>
      <c r="U109" s="4"/>
      <c r="V109" s="4"/>
      <c r="W109" s="4">
        <v>0</v>
      </c>
      <c r="X109" s="4">
        <v>1</v>
      </c>
      <c r="Y109" s="4">
        <v>0</v>
      </c>
      <c r="Z109" s="4"/>
      <c r="AA109" s="4"/>
      <c r="AB109" s="4"/>
    </row>
    <row r="110" spans="1:28" x14ac:dyDescent="0.2">
      <c r="A110" s="4">
        <v>50</v>
      </c>
      <c r="B110" s="4">
        <v>0</v>
      </c>
      <c r="C110" s="4">
        <v>0</v>
      </c>
      <c r="D110" s="4">
        <v>1</v>
      </c>
      <c r="E110" s="4">
        <v>215</v>
      </c>
      <c r="F110" s="4">
        <f>ROUND(Source!AT92,O110)</f>
        <v>0</v>
      </c>
      <c r="G110" s="4" t="s">
        <v>130</v>
      </c>
      <c r="H110" s="4" t="s">
        <v>131</v>
      </c>
      <c r="I110" s="4"/>
      <c r="J110" s="4"/>
      <c r="K110" s="4">
        <v>215</v>
      </c>
      <c r="L110" s="4">
        <v>17</v>
      </c>
      <c r="M110" s="4">
        <v>3</v>
      </c>
      <c r="N110" s="4" t="s">
        <v>3</v>
      </c>
      <c r="O110" s="4">
        <v>2</v>
      </c>
      <c r="P110" s="4"/>
      <c r="Q110" s="4"/>
      <c r="R110" s="4"/>
      <c r="S110" s="4"/>
      <c r="T110" s="4"/>
      <c r="U110" s="4"/>
      <c r="V110" s="4"/>
      <c r="W110" s="4">
        <v>0</v>
      </c>
      <c r="X110" s="4">
        <v>1</v>
      </c>
      <c r="Y110" s="4">
        <v>0</v>
      </c>
      <c r="Z110" s="4"/>
      <c r="AA110" s="4"/>
      <c r="AB110" s="4"/>
    </row>
    <row r="111" spans="1:28" x14ac:dyDescent="0.2">
      <c r="A111" s="4">
        <v>50</v>
      </c>
      <c r="B111" s="4">
        <v>0</v>
      </c>
      <c r="C111" s="4">
        <v>0</v>
      </c>
      <c r="D111" s="4">
        <v>1</v>
      </c>
      <c r="E111" s="4">
        <v>217</v>
      </c>
      <c r="F111" s="4">
        <f>ROUND(Source!AU92,O111)</f>
        <v>2212.56</v>
      </c>
      <c r="G111" s="4" t="s">
        <v>132</v>
      </c>
      <c r="H111" s="4" t="s">
        <v>133</v>
      </c>
      <c r="I111" s="4"/>
      <c r="J111" s="4"/>
      <c r="K111" s="4">
        <v>217</v>
      </c>
      <c r="L111" s="4">
        <v>18</v>
      </c>
      <c r="M111" s="4">
        <v>3</v>
      </c>
      <c r="N111" s="4" t="s">
        <v>3</v>
      </c>
      <c r="O111" s="4">
        <v>2</v>
      </c>
      <c r="P111" s="4"/>
      <c r="Q111" s="4"/>
      <c r="R111" s="4"/>
      <c r="S111" s="4"/>
      <c r="T111" s="4"/>
      <c r="U111" s="4"/>
      <c r="V111" s="4"/>
      <c r="W111" s="4">
        <v>2212.56</v>
      </c>
      <c r="X111" s="4">
        <v>1</v>
      </c>
      <c r="Y111" s="4">
        <v>2212.56</v>
      </c>
      <c r="Z111" s="4"/>
      <c r="AA111" s="4"/>
      <c r="AB111" s="4"/>
    </row>
    <row r="112" spans="1:28" x14ac:dyDescent="0.2">
      <c r="A112" s="4">
        <v>50</v>
      </c>
      <c r="B112" s="4">
        <v>0</v>
      </c>
      <c r="C112" s="4">
        <v>0</v>
      </c>
      <c r="D112" s="4">
        <v>1</v>
      </c>
      <c r="E112" s="4">
        <v>230</v>
      </c>
      <c r="F112" s="4">
        <f>ROUND(Source!BA92,O112)</f>
        <v>0</v>
      </c>
      <c r="G112" s="4" t="s">
        <v>134</v>
      </c>
      <c r="H112" s="4" t="s">
        <v>135</v>
      </c>
      <c r="I112" s="4"/>
      <c r="J112" s="4"/>
      <c r="K112" s="4">
        <v>230</v>
      </c>
      <c r="L112" s="4">
        <v>19</v>
      </c>
      <c r="M112" s="4">
        <v>3</v>
      </c>
      <c r="N112" s="4" t="s">
        <v>3</v>
      </c>
      <c r="O112" s="4">
        <v>2</v>
      </c>
      <c r="P112" s="4"/>
      <c r="Q112" s="4"/>
      <c r="R112" s="4"/>
      <c r="S112" s="4"/>
      <c r="T112" s="4"/>
      <c r="U112" s="4"/>
      <c r="V112" s="4"/>
      <c r="W112" s="4">
        <v>0</v>
      </c>
      <c r="X112" s="4">
        <v>1</v>
      </c>
      <c r="Y112" s="4">
        <v>0</v>
      </c>
      <c r="Z112" s="4"/>
      <c r="AA112" s="4"/>
      <c r="AB112" s="4"/>
    </row>
    <row r="113" spans="1:245" x14ac:dyDescent="0.2">
      <c r="A113" s="4">
        <v>50</v>
      </c>
      <c r="B113" s="4">
        <v>0</v>
      </c>
      <c r="C113" s="4">
        <v>0</v>
      </c>
      <c r="D113" s="4">
        <v>1</v>
      </c>
      <c r="E113" s="4">
        <v>206</v>
      </c>
      <c r="F113" s="4">
        <f>ROUND(Source!T92,O113)</f>
        <v>0</v>
      </c>
      <c r="G113" s="4" t="s">
        <v>136</v>
      </c>
      <c r="H113" s="4" t="s">
        <v>137</v>
      </c>
      <c r="I113" s="4"/>
      <c r="J113" s="4"/>
      <c r="K113" s="4">
        <v>206</v>
      </c>
      <c r="L113" s="4">
        <v>20</v>
      </c>
      <c r="M113" s="4">
        <v>3</v>
      </c>
      <c r="N113" s="4" t="s">
        <v>3</v>
      </c>
      <c r="O113" s="4">
        <v>2</v>
      </c>
      <c r="P113" s="4"/>
      <c r="Q113" s="4"/>
      <c r="R113" s="4"/>
      <c r="S113" s="4"/>
      <c r="T113" s="4"/>
      <c r="U113" s="4"/>
      <c r="V113" s="4"/>
      <c r="W113" s="4">
        <v>0</v>
      </c>
      <c r="X113" s="4">
        <v>1</v>
      </c>
      <c r="Y113" s="4">
        <v>0</v>
      </c>
      <c r="Z113" s="4"/>
      <c r="AA113" s="4"/>
      <c r="AB113" s="4"/>
    </row>
    <row r="114" spans="1:245" x14ac:dyDescent="0.2">
      <c r="A114" s="4">
        <v>50</v>
      </c>
      <c r="B114" s="4">
        <v>0</v>
      </c>
      <c r="C114" s="4">
        <v>0</v>
      </c>
      <c r="D114" s="4">
        <v>1</v>
      </c>
      <c r="E114" s="4">
        <v>207</v>
      </c>
      <c r="F114" s="4">
        <f>Source!U92</f>
        <v>1.9600000000000002</v>
      </c>
      <c r="G114" s="4" t="s">
        <v>138</v>
      </c>
      <c r="H114" s="4" t="s">
        <v>139</v>
      </c>
      <c r="I114" s="4"/>
      <c r="J114" s="4"/>
      <c r="K114" s="4">
        <v>207</v>
      </c>
      <c r="L114" s="4">
        <v>21</v>
      </c>
      <c r="M114" s="4">
        <v>3</v>
      </c>
      <c r="N114" s="4" t="s">
        <v>3</v>
      </c>
      <c r="O114" s="4">
        <v>-1</v>
      </c>
      <c r="P114" s="4"/>
      <c r="Q114" s="4"/>
      <c r="R114" s="4"/>
      <c r="S114" s="4"/>
      <c r="T114" s="4"/>
      <c r="U114" s="4"/>
      <c r="V114" s="4"/>
      <c r="W114" s="4">
        <v>1.96</v>
      </c>
      <c r="X114" s="4">
        <v>1</v>
      </c>
      <c r="Y114" s="4">
        <v>1.96</v>
      </c>
      <c r="Z114" s="4"/>
      <c r="AA114" s="4"/>
      <c r="AB114" s="4"/>
    </row>
    <row r="115" spans="1:245" x14ac:dyDescent="0.2">
      <c r="A115" s="4">
        <v>50</v>
      </c>
      <c r="B115" s="4">
        <v>0</v>
      </c>
      <c r="C115" s="4">
        <v>0</v>
      </c>
      <c r="D115" s="4">
        <v>1</v>
      </c>
      <c r="E115" s="4">
        <v>208</v>
      </c>
      <c r="F115" s="4">
        <f>Source!V92</f>
        <v>0</v>
      </c>
      <c r="G115" s="4" t="s">
        <v>140</v>
      </c>
      <c r="H115" s="4" t="s">
        <v>141</v>
      </c>
      <c r="I115" s="4"/>
      <c r="J115" s="4"/>
      <c r="K115" s="4">
        <v>208</v>
      </c>
      <c r="L115" s="4">
        <v>22</v>
      </c>
      <c r="M115" s="4">
        <v>3</v>
      </c>
      <c r="N115" s="4" t="s">
        <v>3</v>
      </c>
      <c r="O115" s="4">
        <v>-1</v>
      </c>
      <c r="P115" s="4"/>
      <c r="Q115" s="4"/>
      <c r="R115" s="4"/>
      <c r="S115" s="4"/>
      <c r="T115" s="4"/>
      <c r="U115" s="4"/>
      <c r="V115" s="4"/>
      <c r="W115" s="4">
        <v>0</v>
      </c>
      <c r="X115" s="4">
        <v>1</v>
      </c>
      <c r="Y115" s="4">
        <v>0</v>
      </c>
      <c r="Z115" s="4"/>
      <c r="AA115" s="4"/>
      <c r="AB115" s="4"/>
    </row>
    <row r="116" spans="1:245" x14ac:dyDescent="0.2">
      <c r="A116" s="4">
        <v>50</v>
      </c>
      <c r="B116" s="4">
        <v>0</v>
      </c>
      <c r="C116" s="4">
        <v>0</v>
      </c>
      <c r="D116" s="4">
        <v>1</v>
      </c>
      <c r="E116" s="4">
        <v>209</v>
      </c>
      <c r="F116" s="4">
        <f>ROUND(Source!W92,O116)</f>
        <v>0</v>
      </c>
      <c r="G116" s="4" t="s">
        <v>142</v>
      </c>
      <c r="H116" s="4" t="s">
        <v>143</v>
      </c>
      <c r="I116" s="4"/>
      <c r="J116" s="4"/>
      <c r="K116" s="4">
        <v>209</v>
      </c>
      <c r="L116" s="4">
        <v>23</v>
      </c>
      <c r="M116" s="4">
        <v>3</v>
      </c>
      <c r="N116" s="4" t="s">
        <v>3</v>
      </c>
      <c r="O116" s="4">
        <v>2</v>
      </c>
      <c r="P116" s="4"/>
      <c r="Q116" s="4"/>
      <c r="R116" s="4"/>
      <c r="S116" s="4"/>
      <c r="T116" s="4"/>
      <c r="U116" s="4"/>
      <c r="V116" s="4"/>
      <c r="W116" s="4">
        <v>0</v>
      </c>
      <c r="X116" s="4">
        <v>1</v>
      </c>
      <c r="Y116" s="4">
        <v>0</v>
      </c>
      <c r="Z116" s="4"/>
      <c r="AA116" s="4"/>
      <c r="AB116" s="4"/>
    </row>
    <row r="117" spans="1:245" x14ac:dyDescent="0.2">
      <c r="A117" s="4">
        <v>50</v>
      </c>
      <c r="B117" s="4">
        <v>0</v>
      </c>
      <c r="C117" s="4">
        <v>0</v>
      </c>
      <c r="D117" s="4">
        <v>1</v>
      </c>
      <c r="E117" s="4">
        <v>233</v>
      </c>
      <c r="F117" s="4">
        <f>ROUND(Source!BD92,O117)</f>
        <v>0</v>
      </c>
      <c r="G117" s="4" t="s">
        <v>144</v>
      </c>
      <c r="H117" s="4" t="s">
        <v>145</v>
      </c>
      <c r="I117" s="4"/>
      <c r="J117" s="4"/>
      <c r="K117" s="4">
        <v>233</v>
      </c>
      <c r="L117" s="4">
        <v>24</v>
      </c>
      <c r="M117" s="4">
        <v>3</v>
      </c>
      <c r="N117" s="4" t="s">
        <v>3</v>
      </c>
      <c r="O117" s="4">
        <v>2</v>
      </c>
      <c r="P117" s="4"/>
      <c r="Q117" s="4"/>
      <c r="R117" s="4"/>
      <c r="S117" s="4"/>
      <c r="T117" s="4"/>
      <c r="U117" s="4"/>
      <c r="V117" s="4"/>
      <c r="W117" s="4">
        <v>0</v>
      </c>
      <c r="X117" s="4">
        <v>1</v>
      </c>
      <c r="Y117" s="4">
        <v>0</v>
      </c>
      <c r="Z117" s="4"/>
      <c r="AA117" s="4"/>
      <c r="AB117" s="4"/>
    </row>
    <row r="118" spans="1:245" x14ac:dyDescent="0.2">
      <c r="A118" s="4">
        <v>50</v>
      </c>
      <c r="B118" s="4">
        <v>0</v>
      </c>
      <c r="C118" s="4">
        <v>0</v>
      </c>
      <c r="D118" s="4">
        <v>1</v>
      </c>
      <c r="E118" s="4">
        <v>210</v>
      </c>
      <c r="F118" s="4">
        <f>ROUND(Source!X92,O118)</f>
        <v>847.21</v>
      </c>
      <c r="G118" s="4" t="s">
        <v>146</v>
      </c>
      <c r="H118" s="4" t="s">
        <v>147</v>
      </c>
      <c r="I118" s="4"/>
      <c r="J118" s="4"/>
      <c r="K118" s="4">
        <v>210</v>
      </c>
      <c r="L118" s="4">
        <v>25</v>
      </c>
      <c r="M118" s="4">
        <v>3</v>
      </c>
      <c r="N118" s="4" t="s">
        <v>3</v>
      </c>
      <c r="O118" s="4">
        <v>2</v>
      </c>
      <c r="P118" s="4"/>
      <c r="Q118" s="4"/>
      <c r="R118" s="4"/>
      <c r="S118" s="4"/>
      <c r="T118" s="4"/>
      <c r="U118" s="4"/>
      <c r="V118" s="4"/>
      <c r="W118" s="4">
        <v>847.21</v>
      </c>
      <c r="X118" s="4">
        <v>1</v>
      </c>
      <c r="Y118" s="4">
        <v>847.21</v>
      </c>
      <c r="Z118" s="4"/>
      <c r="AA118" s="4"/>
      <c r="AB118" s="4"/>
    </row>
    <row r="119" spans="1:245" x14ac:dyDescent="0.2">
      <c r="A119" s="4">
        <v>50</v>
      </c>
      <c r="B119" s="4">
        <v>0</v>
      </c>
      <c r="C119" s="4">
        <v>0</v>
      </c>
      <c r="D119" s="4">
        <v>1</v>
      </c>
      <c r="E119" s="4">
        <v>211</v>
      </c>
      <c r="F119" s="4">
        <f>ROUND(Source!Y92,O119)</f>
        <v>121.03</v>
      </c>
      <c r="G119" s="4" t="s">
        <v>148</v>
      </c>
      <c r="H119" s="4" t="s">
        <v>149</v>
      </c>
      <c r="I119" s="4"/>
      <c r="J119" s="4"/>
      <c r="K119" s="4">
        <v>211</v>
      </c>
      <c r="L119" s="4">
        <v>26</v>
      </c>
      <c r="M119" s="4">
        <v>3</v>
      </c>
      <c r="N119" s="4" t="s">
        <v>3</v>
      </c>
      <c r="O119" s="4">
        <v>2</v>
      </c>
      <c r="P119" s="4"/>
      <c r="Q119" s="4"/>
      <c r="R119" s="4"/>
      <c r="S119" s="4"/>
      <c r="T119" s="4"/>
      <c r="U119" s="4"/>
      <c r="V119" s="4"/>
      <c r="W119" s="4">
        <v>121.03</v>
      </c>
      <c r="X119" s="4">
        <v>1</v>
      </c>
      <c r="Y119" s="4">
        <v>121.03</v>
      </c>
      <c r="Z119" s="4"/>
      <c r="AA119" s="4"/>
      <c r="AB119" s="4"/>
    </row>
    <row r="120" spans="1:245" x14ac:dyDescent="0.2">
      <c r="A120" s="4">
        <v>50</v>
      </c>
      <c r="B120" s="4">
        <v>0</v>
      </c>
      <c r="C120" s="4">
        <v>0</v>
      </c>
      <c r="D120" s="4">
        <v>1</v>
      </c>
      <c r="E120" s="4">
        <v>224</v>
      </c>
      <c r="F120" s="4">
        <f>ROUND(Source!AR92,O120)</f>
        <v>2212.56</v>
      </c>
      <c r="G120" s="4" t="s">
        <v>150</v>
      </c>
      <c r="H120" s="4" t="s">
        <v>151</v>
      </c>
      <c r="I120" s="4"/>
      <c r="J120" s="4"/>
      <c r="K120" s="4">
        <v>224</v>
      </c>
      <c r="L120" s="4">
        <v>27</v>
      </c>
      <c r="M120" s="4">
        <v>3</v>
      </c>
      <c r="N120" s="4" t="s">
        <v>3</v>
      </c>
      <c r="O120" s="4">
        <v>2</v>
      </c>
      <c r="P120" s="4"/>
      <c r="Q120" s="4"/>
      <c r="R120" s="4"/>
      <c r="S120" s="4"/>
      <c r="T120" s="4"/>
      <c r="U120" s="4"/>
      <c r="V120" s="4"/>
      <c r="W120" s="4">
        <v>2212.56</v>
      </c>
      <c r="X120" s="4">
        <v>1</v>
      </c>
      <c r="Y120" s="4">
        <v>2212.56</v>
      </c>
      <c r="Z120" s="4"/>
      <c r="AA120" s="4"/>
      <c r="AB120" s="4"/>
    </row>
    <row r="122" spans="1:245" x14ac:dyDescent="0.2">
      <c r="A122" s="1">
        <v>5</v>
      </c>
      <c r="B122" s="1">
        <v>1</v>
      </c>
      <c r="C122" s="1"/>
      <c r="D122" s="1">
        <f>ROW(A136)</f>
        <v>136</v>
      </c>
      <c r="E122" s="1"/>
      <c r="F122" s="1" t="s">
        <v>14</v>
      </c>
      <c r="G122" s="1" t="s">
        <v>164</v>
      </c>
      <c r="H122" s="1" t="s">
        <v>3</v>
      </c>
      <c r="I122" s="1">
        <v>0</v>
      </c>
      <c r="J122" s="1"/>
      <c r="K122" s="1">
        <v>-1</v>
      </c>
      <c r="L122" s="1"/>
      <c r="M122" s="1" t="s">
        <v>3</v>
      </c>
      <c r="N122" s="1"/>
      <c r="O122" s="1"/>
      <c r="P122" s="1"/>
      <c r="Q122" s="1"/>
      <c r="R122" s="1"/>
      <c r="S122" s="1">
        <v>0</v>
      </c>
      <c r="T122" s="1"/>
      <c r="U122" s="1" t="s">
        <v>3</v>
      </c>
      <c r="V122" s="1">
        <v>0</v>
      </c>
      <c r="W122" s="1"/>
      <c r="X122" s="1"/>
      <c r="Y122" s="1"/>
      <c r="Z122" s="1"/>
      <c r="AA122" s="1"/>
      <c r="AB122" s="1" t="s">
        <v>3</v>
      </c>
      <c r="AC122" s="1" t="s">
        <v>3</v>
      </c>
      <c r="AD122" s="1" t="s">
        <v>3</v>
      </c>
      <c r="AE122" s="1" t="s">
        <v>3</v>
      </c>
      <c r="AF122" s="1" t="s">
        <v>3</v>
      </c>
      <c r="AG122" s="1" t="s">
        <v>3</v>
      </c>
      <c r="AH122" s="1"/>
      <c r="AI122" s="1"/>
      <c r="AJ122" s="1"/>
      <c r="AK122" s="1"/>
      <c r="AL122" s="1"/>
      <c r="AM122" s="1"/>
      <c r="AN122" s="1"/>
      <c r="AO122" s="1"/>
      <c r="AP122" s="1" t="s">
        <v>3</v>
      </c>
      <c r="AQ122" s="1" t="s">
        <v>3</v>
      </c>
      <c r="AR122" s="1" t="s">
        <v>3</v>
      </c>
      <c r="AS122" s="1"/>
      <c r="AT122" s="1"/>
      <c r="AU122" s="1"/>
      <c r="AV122" s="1"/>
      <c r="AW122" s="1"/>
      <c r="AX122" s="1"/>
      <c r="AY122" s="1"/>
      <c r="AZ122" s="1" t="s">
        <v>3</v>
      </c>
      <c r="BA122" s="1"/>
      <c r="BB122" s="1" t="s">
        <v>3</v>
      </c>
      <c r="BC122" s="1" t="s">
        <v>3</v>
      </c>
      <c r="BD122" s="1" t="s">
        <v>3</v>
      </c>
      <c r="BE122" s="1" t="s">
        <v>3</v>
      </c>
      <c r="BF122" s="1" t="s">
        <v>3</v>
      </c>
      <c r="BG122" s="1" t="s">
        <v>3</v>
      </c>
      <c r="BH122" s="1" t="s">
        <v>3</v>
      </c>
      <c r="BI122" s="1" t="s">
        <v>3</v>
      </c>
      <c r="BJ122" s="1" t="s">
        <v>3</v>
      </c>
      <c r="BK122" s="1" t="s">
        <v>3</v>
      </c>
      <c r="BL122" s="1" t="s">
        <v>3</v>
      </c>
      <c r="BM122" s="1" t="s">
        <v>3</v>
      </c>
      <c r="BN122" s="1" t="s">
        <v>3</v>
      </c>
      <c r="BO122" s="1" t="s">
        <v>3</v>
      </c>
      <c r="BP122" s="1" t="s">
        <v>3</v>
      </c>
      <c r="BQ122" s="1"/>
      <c r="BR122" s="1"/>
      <c r="BS122" s="1"/>
      <c r="BT122" s="1"/>
      <c r="BU122" s="1"/>
      <c r="BV122" s="1"/>
      <c r="BW122" s="1"/>
      <c r="BX122" s="1">
        <v>0</v>
      </c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>
        <v>0</v>
      </c>
    </row>
    <row r="124" spans="1:245" x14ac:dyDescent="0.2">
      <c r="A124" s="2">
        <v>52</v>
      </c>
      <c r="B124" s="2">
        <f t="shared" ref="B124:G124" si="79">B136</f>
        <v>1</v>
      </c>
      <c r="C124" s="2">
        <f t="shared" si="79"/>
        <v>5</v>
      </c>
      <c r="D124" s="2">
        <f t="shared" si="79"/>
        <v>122</v>
      </c>
      <c r="E124" s="2">
        <f t="shared" si="79"/>
        <v>0</v>
      </c>
      <c r="F124" s="2" t="str">
        <f t="shared" si="79"/>
        <v>Новый подраздел</v>
      </c>
      <c r="G124" s="2" t="str">
        <f t="shared" si="79"/>
        <v>Вентиляция и кондиционирование</v>
      </c>
      <c r="H124" s="2"/>
      <c r="I124" s="2"/>
      <c r="J124" s="2"/>
      <c r="K124" s="2"/>
      <c r="L124" s="2"/>
      <c r="M124" s="2"/>
      <c r="N124" s="2"/>
      <c r="O124" s="2">
        <f t="shared" ref="O124:AT124" si="80">O136</f>
        <v>66303.58</v>
      </c>
      <c r="P124" s="2">
        <f t="shared" si="80"/>
        <v>23.52</v>
      </c>
      <c r="Q124" s="2">
        <f t="shared" si="80"/>
        <v>73.92</v>
      </c>
      <c r="R124" s="2">
        <f t="shared" si="80"/>
        <v>0.98</v>
      </c>
      <c r="S124" s="2">
        <f t="shared" si="80"/>
        <v>66206.14</v>
      </c>
      <c r="T124" s="2">
        <f t="shared" si="80"/>
        <v>0</v>
      </c>
      <c r="U124" s="2">
        <f t="shared" si="80"/>
        <v>103.88</v>
      </c>
      <c r="V124" s="2">
        <f t="shared" si="80"/>
        <v>0</v>
      </c>
      <c r="W124" s="2">
        <f t="shared" si="80"/>
        <v>0</v>
      </c>
      <c r="X124" s="2">
        <f t="shared" si="80"/>
        <v>46344.3</v>
      </c>
      <c r="Y124" s="2">
        <f t="shared" si="80"/>
        <v>6620.61</v>
      </c>
      <c r="Z124" s="2">
        <f t="shared" si="80"/>
        <v>0</v>
      </c>
      <c r="AA124" s="2">
        <f t="shared" si="80"/>
        <v>0</v>
      </c>
      <c r="AB124" s="2">
        <f t="shared" si="80"/>
        <v>66303.58</v>
      </c>
      <c r="AC124" s="2">
        <f t="shared" si="80"/>
        <v>23.52</v>
      </c>
      <c r="AD124" s="2">
        <f t="shared" si="80"/>
        <v>73.92</v>
      </c>
      <c r="AE124" s="2">
        <f t="shared" si="80"/>
        <v>0.98</v>
      </c>
      <c r="AF124" s="2">
        <f t="shared" si="80"/>
        <v>66206.14</v>
      </c>
      <c r="AG124" s="2">
        <f t="shared" si="80"/>
        <v>0</v>
      </c>
      <c r="AH124" s="2">
        <f t="shared" si="80"/>
        <v>103.88</v>
      </c>
      <c r="AI124" s="2">
        <f t="shared" si="80"/>
        <v>0</v>
      </c>
      <c r="AJ124" s="2">
        <f t="shared" si="80"/>
        <v>0</v>
      </c>
      <c r="AK124" s="2">
        <f t="shared" si="80"/>
        <v>46344.3</v>
      </c>
      <c r="AL124" s="2">
        <f t="shared" si="80"/>
        <v>6620.61</v>
      </c>
      <c r="AM124" s="2">
        <f t="shared" si="80"/>
        <v>0</v>
      </c>
      <c r="AN124" s="2">
        <f t="shared" si="80"/>
        <v>0</v>
      </c>
      <c r="AO124" s="2">
        <f t="shared" si="80"/>
        <v>0</v>
      </c>
      <c r="AP124" s="2">
        <f t="shared" si="80"/>
        <v>0</v>
      </c>
      <c r="AQ124" s="2">
        <f t="shared" si="80"/>
        <v>0</v>
      </c>
      <c r="AR124" s="2">
        <f t="shared" si="80"/>
        <v>119269.55</v>
      </c>
      <c r="AS124" s="2">
        <f t="shared" si="80"/>
        <v>0</v>
      </c>
      <c r="AT124" s="2">
        <f t="shared" si="80"/>
        <v>0</v>
      </c>
      <c r="AU124" s="2">
        <f t="shared" ref="AU124:BZ124" si="81">AU136</f>
        <v>119269.55</v>
      </c>
      <c r="AV124" s="2">
        <f t="shared" si="81"/>
        <v>23.52</v>
      </c>
      <c r="AW124" s="2">
        <f t="shared" si="81"/>
        <v>23.52</v>
      </c>
      <c r="AX124" s="2">
        <f t="shared" si="81"/>
        <v>0</v>
      </c>
      <c r="AY124" s="2">
        <f t="shared" si="81"/>
        <v>23.52</v>
      </c>
      <c r="AZ124" s="2">
        <f t="shared" si="81"/>
        <v>0</v>
      </c>
      <c r="BA124" s="2">
        <f t="shared" si="81"/>
        <v>0</v>
      </c>
      <c r="BB124" s="2">
        <f t="shared" si="81"/>
        <v>0</v>
      </c>
      <c r="BC124" s="2">
        <f t="shared" si="81"/>
        <v>0</v>
      </c>
      <c r="BD124" s="2">
        <f t="shared" si="81"/>
        <v>0</v>
      </c>
      <c r="BE124" s="2">
        <f t="shared" si="81"/>
        <v>0</v>
      </c>
      <c r="BF124" s="2">
        <f t="shared" si="81"/>
        <v>0</v>
      </c>
      <c r="BG124" s="2">
        <f t="shared" si="81"/>
        <v>0</v>
      </c>
      <c r="BH124" s="2">
        <f t="shared" si="81"/>
        <v>0</v>
      </c>
      <c r="BI124" s="2">
        <f t="shared" si="81"/>
        <v>0</v>
      </c>
      <c r="BJ124" s="2">
        <f t="shared" si="81"/>
        <v>0</v>
      </c>
      <c r="BK124" s="2">
        <f t="shared" si="81"/>
        <v>0</v>
      </c>
      <c r="BL124" s="2">
        <f t="shared" si="81"/>
        <v>0</v>
      </c>
      <c r="BM124" s="2">
        <f t="shared" si="81"/>
        <v>0</v>
      </c>
      <c r="BN124" s="2">
        <f t="shared" si="81"/>
        <v>0</v>
      </c>
      <c r="BO124" s="2">
        <f t="shared" si="81"/>
        <v>0</v>
      </c>
      <c r="BP124" s="2">
        <f t="shared" si="81"/>
        <v>0</v>
      </c>
      <c r="BQ124" s="2">
        <f t="shared" si="81"/>
        <v>0</v>
      </c>
      <c r="BR124" s="2">
        <f t="shared" si="81"/>
        <v>0</v>
      </c>
      <c r="BS124" s="2">
        <f t="shared" si="81"/>
        <v>0</v>
      </c>
      <c r="BT124" s="2">
        <f t="shared" si="81"/>
        <v>0</v>
      </c>
      <c r="BU124" s="2">
        <f t="shared" si="81"/>
        <v>0</v>
      </c>
      <c r="BV124" s="2">
        <f t="shared" si="81"/>
        <v>0</v>
      </c>
      <c r="BW124" s="2">
        <f t="shared" si="81"/>
        <v>0</v>
      </c>
      <c r="BX124" s="2">
        <f t="shared" si="81"/>
        <v>0</v>
      </c>
      <c r="BY124" s="2">
        <f t="shared" si="81"/>
        <v>0</v>
      </c>
      <c r="BZ124" s="2">
        <f t="shared" si="81"/>
        <v>0</v>
      </c>
      <c r="CA124" s="2">
        <f t="shared" ref="CA124:DF124" si="82">CA136</f>
        <v>119269.55</v>
      </c>
      <c r="CB124" s="2">
        <f t="shared" si="82"/>
        <v>0</v>
      </c>
      <c r="CC124" s="2">
        <f t="shared" si="82"/>
        <v>0</v>
      </c>
      <c r="CD124" s="2">
        <f t="shared" si="82"/>
        <v>119269.55</v>
      </c>
      <c r="CE124" s="2">
        <f t="shared" si="82"/>
        <v>23.52</v>
      </c>
      <c r="CF124" s="2">
        <f t="shared" si="82"/>
        <v>23.52</v>
      </c>
      <c r="CG124" s="2">
        <f t="shared" si="82"/>
        <v>0</v>
      </c>
      <c r="CH124" s="2">
        <f t="shared" si="82"/>
        <v>23.52</v>
      </c>
      <c r="CI124" s="2">
        <f t="shared" si="82"/>
        <v>0</v>
      </c>
      <c r="CJ124" s="2">
        <f t="shared" si="82"/>
        <v>0</v>
      </c>
      <c r="CK124" s="2">
        <f t="shared" si="82"/>
        <v>0</v>
      </c>
      <c r="CL124" s="2">
        <f t="shared" si="82"/>
        <v>0</v>
      </c>
      <c r="CM124" s="2">
        <f t="shared" si="82"/>
        <v>0</v>
      </c>
      <c r="CN124" s="2">
        <f t="shared" si="82"/>
        <v>0</v>
      </c>
      <c r="CO124" s="2">
        <f t="shared" si="82"/>
        <v>0</v>
      </c>
      <c r="CP124" s="2">
        <f t="shared" si="82"/>
        <v>0</v>
      </c>
      <c r="CQ124" s="2">
        <f t="shared" si="82"/>
        <v>0</v>
      </c>
      <c r="CR124" s="2">
        <f t="shared" si="82"/>
        <v>0</v>
      </c>
      <c r="CS124" s="2">
        <f t="shared" si="82"/>
        <v>0</v>
      </c>
      <c r="CT124" s="2">
        <f t="shared" si="82"/>
        <v>0</v>
      </c>
      <c r="CU124" s="2">
        <f t="shared" si="82"/>
        <v>0</v>
      </c>
      <c r="CV124" s="2">
        <f t="shared" si="82"/>
        <v>0</v>
      </c>
      <c r="CW124" s="2">
        <f t="shared" si="82"/>
        <v>0</v>
      </c>
      <c r="CX124" s="2">
        <f t="shared" si="82"/>
        <v>0</v>
      </c>
      <c r="CY124" s="2">
        <f t="shared" si="82"/>
        <v>0</v>
      </c>
      <c r="CZ124" s="2">
        <f t="shared" si="82"/>
        <v>0</v>
      </c>
      <c r="DA124" s="2">
        <f t="shared" si="82"/>
        <v>0</v>
      </c>
      <c r="DB124" s="2">
        <f t="shared" si="82"/>
        <v>0</v>
      </c>
      <c r="DC124" s="2">
        <f t="shared" si="82"/>
        <v>0</v>
      </c>
      <c r="DD124" s="2">
        <f t="shared" si="82"/>
        <v>0</v>
      </c>
      <c r="DE124" s="2">
        <f t="shared" si="82"/>
        <v>0</v>
      </c>
      <c r="DF124" s="2">
        <f t="shared" si="82"/>
        <v>0</v>
      </c>
      <c r="DG124" s="3">
        <f t="shared" ref="DG124:EL124" si="83">DG136</f>
        <v>0</v>
      </c>
      <c r="DH124" s="3">
        <f t="shared" si="83"/>
        <v>0</v>
      </c>
      <c r="DI124" s="3">
        <f t="shared" si="83"/>
        <v>0</v>
      </c>
      <c r="DJ124" s="3">
        <f t="shared" si="83"/>
        <v>0</v>
      </c>
      <c r="DK124" s="3">
        <f t="shared" si="83"/>
        <v>0</v>
      </c>
      <c r="DL124" s="3">
        <f t="shared" si="83"/>
        <v>0</v>
      </c>
      <c r="DM124" s="3">
        <f t="shared" si="83"/>
        <v>0</v>
      </c>
      <c r="DN124" s="3">
        <f t="shared" si="83"/>
        <v>0</v>
      </c>
      <c r="DO124" s="3">
        <f t="shared" si="83"/>
        <v>0</v>
      </c>
      <c r="DP124" s="3">
        <f t="shared" si="83"/>
        <v>0</v>
      </c>
      <c r="DQ124" s="3">
        <f t="shared" si="83"/>
        <v>0</v>
      </c>
      <c r="DR124" s="3">
        <f t="shared" si="83"/>
        <v>0</v>
      </c>
      <c r="DS124" s="3">
        <f t="shared" si="83"/>
        <v>0</v>
      </c>
      <c r="DT124" s="3">
        <f t="shared" si="83"/>
        <v>0</v>
      </c>
      <c r="DU124" s="3">
        <f t="shared" si="83"/>
        <v>0</v>
      </c>
      <c r="DV124" s="3">
        <f t="shared" si="83"/>
        <v>0</v>
      </c>
      <c r="DW124" s="3">
        <f t="shared" si="83"/>
        <v>0</v>
      </c>
      <c r="DX124" s="3">
        <f t="shared" si="83"/>
        <v>0</v>
      </c>
      <c r="DY124" s="3">
        <f t="shared" si="83"/>
        <v>0</v>
      </c>
      <c r="DZ124" s="3">
        <f t="shared" si="83"/>
        <v>0</v>
      </c>
      <c r="EA124" s="3">
        <f t="shared" si="83"/>
        <v>0</v>
      </c>
      <c r="EB124" s="3">
        <f t="shared" si="83"/>
        <v>0</v>
      </c>
      <c r="EC124" s="3">
        <f t="shared" si="83"/>
        <v>0</v>
      </c>
      <c r="ED124" s="3">
        <f t="shared" si="83"/>
        <v>0</v>
      </c>
      <c r="EE124" s="3">
        <f t="shared" si="83"/>
        <v>0</v>
      </c>
      <c r="EF124" s="3">
        <f t="shared" si="83"/>
        <v>0</v>
      </c>
      <c r="EG124" s="3">
        <f t="shared" si="83"/>
        <v>0</v>
      </c>
      <c r="EH124" s="3">
        <f t="shared" si="83"/>
        <v>0</v>
      </c>
      <c r="EI124" s="3">
        <f t="shared" si="83"/>
        <v>0</v>
      </c>
      <c r="EJ124" s="3">
        <f t="shared" si="83"/>
        <v>0</v>
      </c>
      <c r="EK124" s="3">
        <f t="shared" si="83"/>
        <v>0</v>
      </c>
      <c r="EL124" s="3">
        <f t="shared" si="83"/>
        <v>0</v>
      </c>
      <c r="EM124" s="3">
        <f t="shared" ref="EM124:FR124" si="84">EM136</f>
        <v>0</v>
      </c>
      <c r="EN124" s="3">
        <f t="shared" si="84"/>
        <v>0</v>
      </c>
      <c r="EO124" s="3">
        <f t="shared" si="84"/>
        <v>0</v>
      </c>
      <c r="EP124" s="3">
        <f t="shared" si="84"/>
        <v>0</v>
      </c>
      <c r="EQ124" s="3">
        <f t="shared" si="84"/>
        <v>0</v>
      </c>
      <c r="ER124" s="3">
        <f t="shared" si="84"/>
        <v>0</v>
      </c>
      <c r="ES124" s="3">
        <f t="shared" si="84"/>
        <v>0</v>
      </c>
      <c r="ET124" s="3">
        <f t="shared" si="84"/>
        <v>0</v>
      </c>
      <c r="EU124" s="3">
        <f t="shared" si="84"/>
        <v>0</v>
      </c>
      <c r="EV124" s="3">
        <f t="shared" si="84"/>
        <v>0</v>
      </c>
      <c r="EW124" s="3">
        <f t="shared" si="84"/>
        <v>0</v>
      </c>
      <c r="EX124" s="3">
        <f t="shared" si="84"/>
        <v>0</v>
      </c>
      <c r="EY124" s="3">
        <f t="shared" si="84"/>
        <v>0</v>
      </c>
      <c r="EZ124" s="3">
        <f t="shared" si="84"/>
        <v>0</v>
      </c>
      <c r="FA124" s="3">
        <f t="shared" si="84"/>
        <v>0</v>
      </c>
      <c r="FB124" s="3">
        <f t="shared" si="84"/>
        <v>0</v>
      </c>
      <c r="FC124" s="3">
        <f t="shared" si="84"/>
        <v>0</v>
      </c>
      <c r="FD124" s="3">
        <f t="shared" si="84"/>
        <v>0</v>
      </c>
      <c r="FE124" s="3">
        <f t="shared" si="84"/>
        <v>0</v>
      </c>
      <c r="FF124" s="3">
        <f t="shared" si="84"/>
        <v>0</v>
      </c>
      <c r="FG124" s="3">
        <f t="shared" si="84"/>
        <v>0</v>
      </c>
      <c r="FH124" s="3">
        <f t="shared" si="84"/>
        <v>0</v>
      </c>
      <c r="FI124" s="3">
        <f t="shared" si="84"/>
        <v>0</v>
      </c>
      <c r="FJ124" s="3">
        <f t="shared" si="84"/>
        <v>0</v>
      </c>
      <c r="FK124" s="3">
        <f t="shared" si="84"/>
        <v>0</v>
      </c>
      <c r="FL124" s="3">
        <f t="shared" si="84"/>
        <v>0</v>
      </c>
      <c r="FM124" s="3">
        <f t="shared" si="84"/>
        <v>0</v>
      </c>
      <c r="FN124" s="3">
        <f t="shared" si="84"/>
        <v>0</v>
      </c>
      <c r="FO124" s="3">
        <f t="shared" si="84"/>
        <v>0</v>
      </c>
      <c r="FP124" s="3">
        <f t="shared" si="84"/>
        <v>0</v>
      </c>
      <c r="FQ124" s="3">
        <f t="shared" si="84"/>
        <v>0</v>
      </c>
      <c r="FR124" s="3">
        <f t="shared" si="84"/>
        <v>0</v>
      </c>
      <c r="FS124" s="3">
        <f t="shared" ref="FS124:GX124" si="85">FS136</f>
        <v>0</v>
      </c>
      <c r="FT124" s="3">
        <f t="shared" si="85"/>
        <v>0</v>
      </c>
      <c r="FU124" s="3">
        <f t="shared" si="85"/>
        <v>0</v>
      </c>
      <c r="FV124" s="3">
        <f t="shared" si="85"/>
        <v>0</v>
      </c>
      <c r="FW124" s="3">
        <f t="shared" si="85"/>
        <v>0</v>
      </c>
      <c r="FX124" s="3">
        <f t="shared" si="85"/>
        <v>0</v>
      </c>
      <c r="FY124" s="3">
        <f t="shared" si="85"/>
        <v>0</v>
      </c>
      <c r="FZ124" s="3">
        <f t="shared" si="85"/>
        <v>0</v>
      </c>
      <c r="GA124" s="3">
        <f t="shared" si="85"/>
        <v>0</v>
      </c>
      <c r="GB124" s="3">
        <f t="shared" si="85"/>
        <v>0</v>
      </c>
      <c r="GC124" s="3">
        <f t="shared" si="85"/>
        <v>0</v>
      </c>
      <c r="GD124" s="3">
        <f t="shared" si="85"/>
        <v>0</v>
      </c>
      <c r="GE124" s="3">
        <f t="shared" si="85"/>
        <v>0</v>
      </c>
      <c r="GF124" s="3">
        <f t="shared" si="85"/>
        <v>0</v>
      </c>
      <c r="GG124" s="3">
        <f t="shared" si="85"/>
        <v>0</v>
      </c>
      <c r="GH124" s="3">
        <f t="shared" si="85"/>
        <v>0</v>
      </c>
      <c r="GI124" s="3">
        <f t="shared" si="85"/>
        <v>0</v>
      </c>
      <c r="GJ124" s="3">
        <f t="shared" si="85"/>
        <v>0</v>
      </c>
      <c r="GK124" s="3">
        <f t="shared" si="85"/>
        <v>0</v>
      </c>
      <c r="GL124" s="3">
        <f t="shared" si="85"/>
        <v>0</v>
      </c>
      <c r="GM124" s="3">
        <f t="shared" si="85"/>
        <v>0</v>
      </c>
      <c r="GN124" s="3">
        <f t="shared" si="85"/>
        <v>0</v>
      </c>
      <c r="GO124" s="3">
        <f t="shared" si="85"/>
        <v>0</v>
      </c>
      <c r="GP124" s="3">
        <f t="shared" si="85"/>
        <v>0</v>
      </c>
      <c r="GQ124" s="3">
        <f t="shared" si="85"/>
        <v>0</v>
      </c>
      <c r="GR124" s="3">
        <f t="shared" si="85"/>
        <v>0</v>
      </c>
      <c r="GS124" s="3">
        <f t="shared" si="85"/>
        <v>0</v>
      </c>
      <c r="GT124" s="3">
        <f t="shared" si="85"/>
        <v>0</v>
      </c>
      <c r="GU124" s="3">
        <f t="shared" si="85"/>
        <v>0</v>
      </c>
      <c r="GV124" s="3">
        <f t="shared" si="85"/>
        <v>0</v>
      </c>
      <c r="GW124" s="3">
        <f t="shared" si="85"/>
        <v>0</v>
      </c>
      <c r="GX124" s="3">
        <f t="shared" si="85"/>
        <v>0</v>
      </c>
    </row>
    <row r="126" spans="1:245" x14ac:dyDescent="0.2">
      <c r="A126">
        <v>17</v>
      </c>
      <c r="B126">
        <v>1</v>
      </c>
      <c r="D126">
        <f>ROW(EtalonRes!A48)</f>
        <v>48</v>
      </c>
      <c r="E126" t="s">
        <v>3</v>
      </c>
      <c r="F126" t="s">
        <v>165</v>
      </c>
      <c r="G126" t="s">
        <v>166</v>
      </c>
      <c r="H126" t="s">
        <v>36</v>
      </c>
      <c r="I126">
        <f t="shared" ref="I126:I132" si="86">ROUND(2*7,9)</f>
        <v>14</v>
      </c>
      <c r="J126">
        <v>0</v>
      </c>
      <c r="K126">
        <f t="shared" ref="K126:K132" si="87">ROUND(2*7,9)</f>
        <v>14</v>
      </c>
      <c r="O126">
        <f t="shared" ref="O126:O134" si="88">ROUND(CP126,2)</f>
        <v>17030.72</v>
      </c>
      <c r="P126">
        <f t="shared" ref="P126:P134" si="89">ROUND(CQ126*I126,2)</f>
        <v>0</v>
      </c>
      <c r="Q126">
        <f t="shared" ref="Q126:Q134" si="90">ROUND(CR126*I126,2)</f>
        <v>0</v>
      </c>
      <c r="R126">
        <f t="shared" ref="R126:R134" si="91">ROUND(CS126*I126,2)</f>
        <v>0</v>
      </c>
      <c r="S126">
        <f t="shared" ref="S126:S134" si="92">ROUND(CT126*I126,2)</f>
        <v>17030.72</v>
      </c>
      <c r="T126">
        <f t="shared" ref="T126:T134" si="93">ROUND(CU126*I126,2)</f>
        <v>0</v>
      </c>
      <c r="U126">
        <f t="shared" ref="U126:U134" si="94">CV126*I126</f>
        <v>28</v>
      </c>
      <c r="V126">
        <f t="shared" ref="V126:V134" si="95">CW126*I126</f>
        <v>0</v>
      </c>
      <c r="W126">
        <f t="shared" ref="W126:W134" si="96">ROUND(CX126*I126,2)</f>
        <v>0</v>
      </c>
      <c r="X126">
        <f t="shared" ref="X126:X134" si="97">ROUND(CY126,2)</f>
        <v>11921.5</v>
      </c>
      <c r="Y126">
        <f t="shared" ref="Y126:Y134" si="98">ROUND(CZ126,2)</f>
        <v>1703.07</v>
      </c>
      <c r="AA126">
        <v>-1</v>
      </c>
      <c r="AB126">
        <f t="shared" ref="AB126:AB134" si="99">ROUND((AC126+AD126+AF126),6)</f>
        <v>1216.48</v>
      </c>
      <c r="AC126">
        <f>ROUND(((ES126*4)),6)</f>
        <v>0</v>
      </c>
      <c r="AD126">
        <f>ROUND(((((ET126*4))-((EU126*4)))+AE126),6)</f>
        <v>0</v>
      </c>
      <c r="AE126">
        <f>ROUND(((EU126*4)),6)</f>
        <v>0</v>
      </c>
      <c r="AF126">
        <f>ROUND(((EV126*4)),6)</f>
        <v>1216.48</v>
      </c>
      <c r="AG126">
        <f t="shared" ref="AG126:AG134" si="100">ROUND((AP126),6)</f>
        <v>0</v>
      </c>
      <c r="AH126">
        <f>((EW126*4))</f>
        <v>2</v>
      </c>
      <c r="AI126">
        <f>((EX126*4))</f>
        <v>0</v>
      </c>
      <c r="AJ126">
        <f t="shared" ref="AJ126:AJ134" si="101">(AS126)</f>
        <v>0</v>
      </c>
      <c r="AK126">
        <v>304.12</v>
      </c>
      <c r="AL126">
        <v>0</v>
      </c>
      <c r="AM126">
        <v>0</v>
      </c>
      <c r="AN126">
        <v>0</v>
      </c>
      <c r="AO126">
        <v>304.12</v>
      </c>
      <c r="AP126">
        <v>0</v>
      </c>
      <c r="AQ126">
        <v>0.5</v>
      </c>
      <c r="AR126">
        <v>0</v>
      </c>
      <c r="AS126">
        <v>0</v>
      </c>
      <c r="AT126">
        <v>70</v>
      </c>
      <c r="AU126">
        <v>10</v>
      </c>
      <c r="AV126">
        <v>1</v>
      </c>
      <c r="AW126">
        <v>1</v>
      </c>
      <c r="AZ126">
        <v>1</v>
      </c>
      <c r="BA126">
        <v>1</v>
      </c>
      <c r="BB126">
        <v>1</v>
      </c>
      <c r="BC126">
        <v>1</v>
      </c>
      <c r="BD126" t="s">
        <v>3</v>
      </c>
      <c r="BE126" t="s">
        <v>3</v>
      </c>
      <c r="BF126" t="s">
        <v>3</v>
      </c>
      <c r="BG126" t="s">
        <v>3</v>
      </c>
      <c r="BH126">
        <v>0</v>
      </c>
      <c r="BI126">
        <v>4</v>
      </c>
      <c r="BJ126" t="s">
        <v>167</v>
      </c>
      <c r="BM126">
        <v>0</v>
      </c>
      <c r="BN126">
        <v>0</v>
      </c>
      <c r="BO126" t="s">
        <v>3</v>
      </c>
      <c r="BP126">
        <v>0</v>
      </c>
      <c r="BQ126">
        <v>1</v>
      </c>
      <c r="BR126">
        <v>0</v>
      </c>
      <c r="BS126">
        <v>1</v>
      </c>
      <c r="BT126">
        <v>1</v>
      </c>
      <c r="BU126">
        <v>1</v>
      </c>
      <c r="BV126">
        <v>1</v>
      </c>
      <c r="BW126">
        <v>1</v>
      </c>
      <c r="BX126">
        <v>1</v>
      </c>
      <c r="BY126" t="s">
        <v>3</v>
      </c>
      <c r="BZ126">
        <v>70</v>
      </c>
      <c r="CA126">
        <v>10</v>
      </c>
      <c r="CB126" t="s">
        <v>3</v>
      </c>
      <c r="CE126">
        <v>0</v>
      </c>
      <c r="CF126">
        <v>0</v>
      </c>
      <c r="CG126">
        <v>0</v>
      </c>
      <c r="CM126">
        <v>0</v>
      </c>
      <c r="CN126" t="s">
        <v>3</v>
      </c>
      <c r="CO126">
        <v>0</v>
      </c>
      <c r="CP126">
        <f t="shared" ref="CP126:CP134" si="102">(P126+Q126+S126)</f>
        <v>17030.72</v>
      </c>
      <c r="CQ126">
        <f t="shared" ref="CQ126:CQ134" si="103">(AC126*BC126*AW126)</f>
        <v>0</v>
      </c>
      <c r="CR126">
        <f>(((((ET126*4))*BB126-((EU126*4))*BS126)+AE126*BS126)*AV126)</f>
        <v>0</v>
      </c>
      <c r="CS126">
        <f t="shared" ref="CS126:CS134" si="104">(AE126*BS126*AV126)</f>
        <v>0</v>
      </c>
      <c r="CT126">
        <f t="shared" ref="CT126:CT134" si="105">(AF126*BA126*AV126)</f>
        <v>1216.48</v>
      </c>
      <c r="CU126">
        <f t="shared" ref="CU126:CU134" si="106">AG126</f>
        <v>0</v>
      </c>
      <c r="CV126">
        <f t="shared" ref="CV126:CV134" si="107">(AH126*AV126)</f>
        <v>2</v>
      </c>
      <c r="CW126">
        <f t="shared" ref="CW126:CW134" si="108">AI126</f>
        <v>0</v>
      </c>
      <c r="CX126">
        <f t="shared" ref="CX126:CX134" si="109">AJ126</f>
        <v>0</v>
      </c>
      <c r="CY126">
        <f t="shared" ref="CY126:CY134" si="110">((S126*BZ126)/100)</f>
        <v>11921.504000000001</v>
      </c>
      <c r="CZ126">
        <f t="shared" ref="CZ126:CZ134" si="111">((S126*CA126)/100)</f>
        <v>1703.0720000000001</v>
      </c>
      <c r="DC126" t="s">
        <v>3</v>
      </c>
      <c r="DD126" t="s">
        <v>20</v>
      </c>
      <c r="DE126" t="s">
        <v>20</v>
      </c>
      <c r="DF126" t="s">
        <v>20</v>
      </c>
      <c r="DG126" t="s">
        <v>20</v>
      </c>
      <c r="DH126" t="s">
        <v>3</v>
      </c>
      <c r="DI126" t="s">
        <v>20</v>
      </c>
      <c r="DJ126" t="s">
        <v>20</v>
      </c>
      <c r="DK126" t="s">
        <v>3</v>
      </c>
      <c r="DL126" t="s">
        <v>3</v>
      </c>
      <c r="DM126" t="s">
        <v>3</v>
      </c>
      <c r="DN126">
        <v>0</v>
      </c>
      <c r="DO126">
        <v>0</v>
      </c>
      <c r="DP126">
        <v>1</v>
      </c>
      <c r="DQ126">
        <v>1</v>
      </c>
      <c r="DU126">
        <v>16987630</v>
      </c>
      <c r="DV126" t="s">
        <v>36</v>
      </c>
      <c r="DW126" t="s">
        <v>36</v>
      </c>
      <c r="DX126">
        <v>1</v>
      </c>
      <c r="DZ126" t="s">
        <v>3</v>
      </c>
      <c r="EA126" t="s">
        <v>3</v>
      </c>
      <c r="EB126" t="s">
        <v>3</v>
      </c>
      <c r="EC126" t="s">
        <v>3</v>
      </c>
      <c r="EE126">
        <v>1441815344</v>
      </c>
      <c r="EF126">
        <v>1</v>
      </c>
      <c r="EG126" t="s">
        <v>21</v>
      </c>
      <c r="EH126">
        <v>0</v>
      </c>
      <c r="EI126" t="s">
        <v>3</v>
      </c>
      <c r="EJ126">
        <v>4</v>
      </c>
      <c r="EK126">
        <v>0</v>
      </c>
      <c r="EL126" t="s">
        <v>22</v>
      </c>
      <c r="EM126" t="s">
        <v>23</v>
      </c>
      <c r="EO126" t="s">
        <v>3</v>
      </c>
      <c r="EQ126">
        <v>1024</v>
      </c>
      <c r="ER126">
        <v>304.12</v>
      </c>
      <c r="ES126">
        <v>0</v>
      </c>
      <c r="ET126">
        <v>0</v>
      </c>
      <c r="EU126">
        <v>0</v>
      </c>
      <c r="EV126">
        <v>304.12</v>
      </c>
      <c r="EW126">
        <v>0.5</v>
      </c>
      <c r="EX126">
        <v>0</v>
      </c>
      <c r="EY126">
        <v>0</v>
      </c>
      <c r="FQ126">
        <v>0</v>
      </c>
      <c r="FR126">
        <f t="shared" ref="FR126:FR134" si="112">ROUND(IF(BI126=3,GM126,0),2)</f>
        <v>0</v>
      </c>
      <c r="FS126">
        <v>0</v>
      </c>
      <c r="FX126">
        <v>70</v>
      </c>
      <c r="FY126">
        <v>10</v>
      </c>
      <c r="GA126" t="s">
        <v>3</v>
      </c>
      <c r="GD126">
        <v>0</v>
      </c>
      <c r="GF126">
        <v>-964383457</v>
      </c>
      <c r="GG126">
        <v>2</v>
      </c>
      <c r="GH126">
        <v>1</v>
      </c>
      <c r="GI126">
        <v>-2</v>
      </c>
      <c r="GJ126">
        <v>0</v>
      </c>
      <c r="GK126">
        <f>ROUND(R126*(R12)/100,2)</f>
        <v>0</v>
      </c>
      <c r="GL126">
        <f t="shared" ref="GL126:GL134" si="113">ROUND(IF(AND(BH126=3,BI126=3,FS126&lt;&gt;0),P126,0),2)</f>
        <v>0</v>
      </c>
      <c r="GM126">
        <f t="shared" ref="GM126:GM134" si="114">ROUND(O126+X126+Y126+GK126,2)+GX126</f>
        <v>30655.29</v>
      </c>
      <c r="GN126">
        <f t="shared" ref="GN126:GN134" si="115">IF(OR(BI126=0,BI126=1),GM126-GX126,0)</f>
        <v>0</v>
      </c>
      <c r="GO126">
        <f t="shared" ref="GO126:GO134" si="116">IF(BI126=2,GM126-GX126,0)</f>
        <v>0</v>
      </c>
      <c r="GP126">
        <f t="shared" ref="GP126:GP134" si="117">IF(BI126=4,GM126-GX126,0)</f>
        <v>30655.29</v>
      </c>
      <c r="GR126">
        <v>0</v>
      </c>
      <c r="GS126">
        <v>3</v>
      </c>
      <c r="GT126">
        <v>0</v>
      </c>
      <c r="GU126" t="s">
        <v>3</v>
      </c>
      <c r="GV126">
        <f t="shared" ref="GV126:GV134" si="118">ROUND((GT126),6)</f>
        <v>0</v>
      </c>
      <c r="GW126">
        <v>1</v>
      </c>
      <c r="GX126">
        <f t="shared" ref="GX126:GX134" si="119">ROUND(HC126*I126,2)</f>
        <v>0</v>
      </c>
      <c r="HA126">
        <v>0</v>
      </c>
      <c r="HB126">
        <v>0</v>
      </c>
      <c r="HC126">
        <f t="shared" ref="HC126:HC134" si="120">GV126*GW126</f>
        <v>0</v>
      </c>
      <c r="HE126" t="s">
        <v>3</v>
      </c>
      <c r="HF126" t="s">
        <v>3</v>
      </c>
      <c r="HM126" t="s">
        <v>3</v>
      </c>
      <c r="HN126" t="s">
        <v>3</v>
      </c>
      <c r="HO126" t="s">
        <v>3</v>
      </c>
      <c r="HP126" t="s">
        <v>3</v>
      </c>
      <c r="HQ126" t="s">
        <v>3</v>
      </c>
      <c r="IK126">
        <v>0</v>
      </c>
    </row>
    <row r="127" spans="1:245" x14ac:dyDescent="0.2">
      <c r="A127">
        <v>17</v>
      </c>
      <c r="B127">
        <v>1</v>
      </c>
      <c r="D127">
        <f>ROW(EtalonRes!A49)</f>
        <v>49</v>
      </c>
      <c r="E127" t="s">
        <v>168</v>
      </c>
      <c r="F127" t="s">
        <v>169</v>
      </c>
      <c r="G127" t="s">
        <v>170</v>
      </c>
      <c r="H127" t="s">
        <v>36</v>
      </c>
      <c r="I127">
        <f t="shared" si="86"/>
        <v>14</v>
      </c>
      <c r="J127">
        <v>0</v>
      </c>
      <c r="K127">
        <f t="shared" si="87"/>
        <v>14</v>
      </c>
      <c r="O127">
        <f t="shared" si="88"/>
        <v>29974.84</v>
      </c>
      <c r="P127">
        <f t="shared" si="89"/>
        <v>0</v>
      </c>
      <c r="Q127">
        <f t="shared" si="90"/>
        <v>0</v>
      </c>
      <c r="R127">
        <f t="shared" si="91"/>
        <v>0</v>
      </c>
      <c r="S127">
        <f t="shared" si="92"/>
        <v>29974.84</v>
      </c>
      <c r="T127">
        <f t="shared" si="93"/>
        <v>0</v>
      </c>
      <c r="U127">
        <f t="shared" si="94"/>
        <v>49.28</v>
      </c>
      <c r="V127">
        <f t="shared" si="95"/>
        <v>0</v>
      </c>
      <c r="W127">
        <f t="shared" si="96"/>
        <v>0</v>
      </c>
      <c r="X127">
        <f t="shared" si="97"/>
        <v>20982.39</v>
      </c>
      <c r="Y127">
        <f t="shared" si="98"/>
        <v>2997.48</v>
      </c>
      <c r="AA127">
        <v>1471718271</v>
      </c>
      <c r="AB127">
        <f t="shared" si="99"/>
        <v>2141.06</v>
      </c>
      <c r="AC127">
        <f>ROUND(((ES127*2)),6)</f>
        <v>0</v>
      </c>
      <c r="AD127">
        <f>ROUND(((((ET127*2))-((EU127*2)))+AE127),6)</f>
        <v>0</v>
      </c>
      <c r="AE127">
        <f>ROUND(((EU127*2)),6)</f>
        <v>0</v>
      </c>
      <c r="AF127">
        <f>ROUND(((EV127*2)),6)</f>
        <v>2141.06</v>
      </c>
      <c r="AG127">
        <f t="shared" si="100"/>
        <v>0</v>
      </c>
      <c r="AH127">
        <f>((EW127*2))</f>
        <v>3.52</v>
      </c>
      <c r="AI127">
        <f>((EX127*2))</f>
        <v>0</v>
      </c>
      <c r="AJ127">
        <f t="shared" si="101"/>
        <v>0</v>
      </c>
      <c r="AK127">
        <v>1070.53</v>
      </c>
      <c r="AL127">
        <v>0</v>
      </c>
      <c r="AM127">
        <v>0</v>
      </c>
      <c r="AN127">
        <v>0</v>
      </c>
      <c r="AO127">
        <v>1070.53</v>
      </c>
      <c r="AP127">
        <v>0</v>
      </c>
      <c r="AQ127">
        <v>1.76</v>
      </c>
      <c r="AR127">
        <v>0</v>
      </c>
      <c r="AS127">
        <v>0</v>
      </c>
      <c r="AT127">
        <v>70</v>
      </c>
      <c r="AU127">
        <v>10</v>
      </c>
      <c r="AV127">
        <v>1</v>
      </c>
      <c r="AW127">
        <v>1</v>
      </c>
      <c r="AZ127">
        <v>1</v>
      </c>
      <c r="BA127">
        <v>1</v>
      </c>
      <c r="BB127">
        <v>1</v>
      </c>
      <c r="BC127">
        <v>1</v>
      </c>
      <c r="BD127" t="s">
        <v>3</v>
      </c>
      <c r="BE127" t="s">
        <v>3</v>
      </c>
      <c r="BF127" t="s">
        <v>3</v>
      </c>
      <c r="BG127" t="s">
        <v>3</v>
      </c>
      <c r="BH127">
        <v>0</v>
      </c>
      <c r="BI127">
        <v>4</v>
      </c>
      <c r="BJ127" t="s">
        <v>171</v>
      </c>
      <c r="BM127">
        <v>0</v>
      </c>
      <c r="BN127">
        <v>0</v>
      </c>
      <c r="BO127" t="s">
        <v>3</v>
      </c>
      <c r="BP127">
        <v>0</v>
      </c>
      <c r="BQ127">
        <v>1</v>
      </c>
      <c r="BR127">
        <v>0</v>
      </c>
      <c r="BS127">
        <v>1</v>
      </c>
      <c r="BT127">
        <v>1</v>
      </c>
      <c r="BU127">
        <v>1</v>
      </c>
      <c r="BV127">
        <v>1</v>
      </c>
      <c r="BW127">
        <v>1</v>
      </c>
      <c r="BX127">
        <v>1</v>
      </c>
      <c r="BY127" t="s">
        <v>3</v>
      </c>
      <c r="BZ127">
        <v>70</v>
      </c>
      <c r="CA127">
        <v>10</v>
      </c>
      <c r="CB127" t="s">
        <v>3</v>
      </c>
      <c r="CE127">
        <v>0</v>
      </c>
      <c r="CF127">
        <v>0</v>
      </c>
      <c r="CG127">
        <v>0</v>
      </c>
      <c r="CM127">
        <v>0</v>
      </c>
      <c r="CN127" t="s">
        <v>3</v>
      </c>
      <c r="CO127">
        <v>0</v>
      </c>
      <c r="CP127">
        <f t="shared" si="102"/>
        <v>29974.84</v>
      </c>
      <c r="CQ127">
        <f t="shared" si="103"/>
        <v>0</v>
      </c>
      <c r="CR127">
        <f>(((((ET127*2))*BB127-((EU127*2))*BS127)+AE127*BS127)*AV127)</f>
        <v>0</v>
      </c>
      <c r="CS127">
        <f t="shared" si="104"/>
        <v>0</v>
      </c>
      <c r="CT127">
        <f t="shared" si="105"/>
        <v>2141.06</v>
      </c>
      <c r="CU127">
        <f t="shared" si="106"/>
        <v>0</v>
      </c>
      <c r="CV127">
        <f t="shared" si="107"/>
        <v>3.52</v>
      </c>
      <c r="CW127">
        <f t="shared" si="108"/>
        <v>0</v>
      </c>
      <c r="CX127">
        <f t="shared" si="109"/>
        <v>0</v>
      </c>
      <c r="CY127">
        <f t="shared" si="110"/>
        <v>20982.387999999999</v>
      </c>
      <c r="CZ127">
        <f t="shared" si="111"/>
        <v>2997.4840000000004</v>
      </c>
      <c r="DC127" t="s">
        <v>3</v>
      </c>
      <c r="DD127" t="s">
        <v>42</v>
      </c>
      <c r="DE127" t="s">
        <v>42</v>
      </c>
      <c r="DF127" t="s">
        <v>42</v>
      </c>
      <c r="DG127" t="s">
        <v>42</v>
      </c>
      <c r="DH127" t="s">
        <v>3</v>
      </c>
      <c r="DI127" t="s">
        <v>42</v>
      </c>
      <c r="DJ127" t="s">
        <v>42</v>
      </c>
      <c r="DK127" t="s">
        <v>3</v>
      </c>
      <c r="DL127" t="s">
        <v>3</v>
      </c>
      <c r="DM127" t="s">
        <v>3</v>
      </c>
      <c r="DN127">
        <v>0</v>
      </c>
      <c r="DO127">
        <v>0</v>
      </c>
      <c r="DP127">
        <v>1</v>
      </c>
      <c r="DQ127">
        <v>1</v>
      </c>
      <c r="DU127">
        <v>16987630</v>
      </c>
      <c r="DV127" t="s">
        <v>36</v>
      </c>
      <c r="DW127" t="s">
        <v>36</v>
      </c>
      <c r="DX127">
        <v>1</v>
      </c>
      <c r="DZ127" t="s">
        <v>3</v>
      </c>
      <c r="EA127" t="s">
        <v>3</v>
      </c>
      <c r="EB127" t="s">
        <v>3</v>
      </c>
      <c r="EC127" t="s">
        <v>3</v>
      </c>
      <c r="EE127">
        <v>1441815344</v>
      </c>
      <c r="EF127">
        <v>1</v>
      </c>
      <c r="EG127" t="s">
        <v>21</v>
      </c>
      <c r="EH127">
        <v>0</v>
      </c>
      <c r="EI127" t="s">
        <v>3</v>
      </c>
      <c r="EJ127">
        <v>4</v>
      </c>
      <c r="EK127">
        <v>0</v>
      </c>
      <c r="EL127" t="s">
        <v>22</v>
      </c>
      <c r="EM127" t="s">
        <v>23</v>
      </c>
      <c r="EO127" t="s">
        <v>3</v>
      </c>
      <c r="EQ127">
        <v>0</v>
      </c>
      <c r="ER127">
        <v>1070.53</v>
      </c>
      <c r="ES127">
        <v>0</v>
      </c>
      <c r="ET127">
        <v>0</v>
      </c>
      <c r="EU127">
        <v>0</v>
      </c>
      <c r="EV127">
        <v>1070.53</v>
      </c>
      <c r="EW127">
        <v>1.76</v>
      </c>
      <c r="EX127">
        <v>0</v>
      </c>
      <c r="EY127">
        <v>0</v>
      </c>
      <c r="FQ127">
        <v>0</v>
      </c>
      <c r="FR127">
        <f t="shared" si="112"/>
        <v>0</v>
      </c>
      <c r="FS127">
        <v>0</v>
      </c>
      <c r="FX127">
        <v>70</v>
      </c>
      <c r="FY127">
        <v>10</v>
      </c>
      <c r="GA127" t="s">
        <v>3</v>
      </c>
      <c r="GD127">
        <v>0</v>
      </c>
      <c r="GF127">
        <v>-1392204801</v>
      </c>
      <c r="GG127">
        <v>2</v>
      </c>
      <c r="GH127">
        <v>1</v>
      </c>
      <c r="GI127">
        <v>-2</v>
      </c>
      <c r="GJ127">
        <v>0</v>
      </c>
      <c r="GK127">
        <f>ROUND(R127*(R12)/100,2)</f>
        <v>0</v>
      </c>
      <c r="GL127">
        <f t="shared" si="113"/>
        <v>0</v>
      </c>
      <c r="GM127">
        <f t="shared" si="114"/>
        <v>53954.71</v>
      </c>
      <c r="GN127">
        <f t="shared" si="115"/>
        <v>0</v>
      </c>
      <c r="GO127">
        <f t="shared" si="116"/>
        <v>0</v>
      </c>
      <c r="GP127">
        <f t="shared" si="117"/>
        <v>53954.71</v>
      </c>
      <c r="GR127">
        <v>0</v>
      </c>
      <c r="GS127">
        <v>3</v>
      </c>
      <c r="GT127">
        <v>0</v>
      </c>
      <c r="GU127" t="s">
        <v>3</v>
      </c>
      <c r="GV127">
        <f t="shared" si="118"/>
        <v>0</v>
      </c>
      <c r="GW127">
        <v>1</v>
      </c>
      <c r="GX127">
        <f t="shared" si="119"/>
        <v>0</v>
      </c>
      <c r="HA127">
        <v>0</v>
      </c>
      <c r="HB127">
        <v>0</v>
      </c>
      <c r="HC127">
        <f t="shared" si="120"/>
        <v>0</v>
      </c>
      <c r="HE127" t="s">
        <v>3</v>
      </c>
      <c r="HF127" t="s">
        <v>3</v>
      </c>
      <c r="HM127" t="s">
        <v>3</v>
      </c>
      <c r="HN127" t="s">
        <v>3</v>
      </c>
      <c r="HO127" t="s">
        <v>3</v>
      </c>
      <c r="HP127" t="s">
        <v>3</v>
      </c>
      <c r="HQ127" t="s">
        <v>3</v>
      </c>
      <c r="IK127">
        <v>0</v>
      </c>
    </row>
    <row r="128" spans="1:245" x14ac:dyDescent="0.2">
      <c r="A128">
        <v>17</v>
      </c>
      <c r="B128">
        <v>1</v>
      </c>
      <c r="D128">
        <f>ROW(EtalonRes!A52)</f>
        <v>52</v>
      </c>
      <c r="E128" t="s">
        <v>3</v>
      </c>
      <c r="F128" t="s">
        <v>172</v>
      </c>
      <c r="G128" t="s">
        <v>173</v>
      </c>
      <c r="H128" t="s">
        <v>36</v>
      </c>
      <c r="I128">
        <f t="shared" si="86"/>
        <v>14</v>
      </c>
      <c r="J128">
        <v>0</v>
      </c>
      <c r="K128">
        <f t="shared" si="87"/>
        <v>14</v>
      </c>
      <c r="O128">
        <f t="shared" si="88"/>
        <v>28857.08</v>
      </c>
      <c r="P128">
        <f t="shared" si="89"/>
        <v>74.34</v>
      </c>
      <c r="Q128">
        <f t="shared" si="90"/>
        <v>0</v>
      </c>
      <c r="R128">
        <f t="shared" si="91"/>
        <v>0</v>
      </c>
      <c r="S128">
        <f t="shared" si="92"/>
        <v>28782.74</v>
      </c>
      <c r="T128">
        <f t="shared" si="93"/>
        <v>0</v>
      </c>
      <c r="U128">
        <f t="shared" si="94"/>
        <v>47.32</v>
      </c>
      <c r="V128">
        <f t="shared" si="95"/>
        <v>0</v>
      </c>
      <c r="W128">
        <f t="shared" si="96"/>
        <v>0</v>
      </c>
      <c r="X128">
        <f t="shared" si="97"/>
        <v>20147.919999999998</v>
      </c>
      <c r="Y128">
        <f t="shared" si="98"/>
        <v>2878.27</v>
      </c>
      <c r="AA128">
        <v>-1</v>
      </c>
      <c r="AB128">
        <f t="shared" si="99"/>
        <v>2061.2199999999998</v>
      </c>
      <c r="AC128">
        <f>ROUND((ES128),6)</f>
        <v>5.31</v>
      </c>
      <c r="AD128">
        <f>ROUND((((ET128)-(EU128))+AE128),6)</f>
        <v>0</v>
      </c>
      <c r="AE128">
        <f>ROUND((EU128),6)</f>
        <v>0</v>
      </c>
      <c r="AF128">
        <f>ROUND((EV128),6)</f>
        <v>2055.91</v>
      </c>
      <c r="AG128">
        <f t="shared" si="100"/>
        <v>0</v>
      </c>
      <c r="AH128">
        <f>(EW128)</f>
        <v>3.38</v>
      </c>
      <c r="AI128">
        <f>(EX128)</f>
        <v>0</v>
      </c>
      <c r="AJ128">
        <f t="shared" si="101"/>
        <v>0</v>
      </c>
      <c r="AK128">
        <v>2061.2199999999998</v>
      </c>
      <c r="AL128">
        <v>5.31</v>
      </c>
      <c r="AM128">
        <v>0</v>
      </c>
      <c r="AN128">
        <v>0</v>
      </c>
      <c r="AO128">
        <v>2055.91</v>
      </c>
      <c r="AP128">
        <v>0</v>
      </c>
      <c r="AQ128">
        <v>3.38</v>
      </c>
      <c r="AR128">
        <v>0</v>
      </c>
      <c r="AS128">
        <v>0</v>
      </c>
      <c r="AT128">
        <v>70</v>
      </c>
      <c r="AU128">
        <v>10</v>
      </c>
      <c r="AV128">
        <v>1</v>
      </c>
      <c r="AW128">
        <v>1</v>
      </c>
      <c r="AZ128">
        <v>1</v>
      </c>
      <c r="BA128">
        <v>1</v>
      </c>
      <c r="BB128">
        <v>1</v>
      </c>
      <c r="BC128">
        <v>1</v>
      </c>
      <c r="BD128" t="s">
        <v>3</v>
      </c>
      <c r="BE128" t="s">
        <v>3</v>
      </c>
      <c r="BF128" t="s">
        <v>3</v>
      </c>
      <c r="BG128" t="s">
        <v>3</v>
      </c>
      <c r="BH128">
        <v>0</v>
      </c>
      <c r="BI128">
        <v>4</v>
      </c>
      <c r="BJ128" t="s">
        <v>174</v>
      </c>
      <c r="BM128">
        <v>0</v>
      </c>
      <c r="BN128">
        <v>0</v>
      </c>
      <c r="BO128" t="s">
        <v>3</v>
      </c>
      <c r="BP128">
        <v>0</v>
      </c>
      <c r="BQ128">
        <v>1</v>
      </c>
      <c r="BR128">
        <v>0</v>
      </c>
      <c r="BS128">
        <v>1</v>
      </c>
      <c r="BT128">
        <v>1</v>
      </c>
      <c r="BU128">
        <v>1</v>
      </c>
      <c r="BV128">
        <v>1</v>
      </c>
      <c r="BW128">
        <v>1</v>
      </c>
      <c r="BX128">
        <v>1</v>
      </c>
      <c r="BY128" t="s">
        <v>3</v>
      </c>
      <c r="BZ128">
        <v>70</v>
      </c>
      <c r="CA128">
        <v>10</v>
      </c>
      <c r="CB128" t="s">
        <v>3</v>
      </c>
      <c r="CE128">
        <v>0</v>
      </c>
      <c r="CF128">
        <v>0</v>
      </c>
      <c r="CG128">
        <v>0</v>
      </c>
      <c r="CM128">
        <v>0</v>
      </c>
      <c r="CN128" t="s">
        <v>3</v>
      </c>
      <c r="CO128">
        <v>0</v>
      </c>
      <c r="CP128">
        <f t="shared" si="102"/>
        <v>28857.08</v>
      </c>
      <c r="CQ128">
        <f t="shared" si="103"/>
        <v>5.31</v>
      </c>
      <c r="CR128">
        <f>((((ET128)*BB128-(EU128)*BS128)+AE128*BS128)*AV128)</f>
        <v>0</v>
      </c>
      <c r="CS128">
        <f t="shared" si="104"/>
        <v>0</v>
      </c>
      <c r="CT128">
        <f t="shared" si="105"/>
        <v>2055.91</v>
      </c>
      <c r="CU128">
        <f t="shared" si="106"/>
        <v>0</v>
      </c>
      <c r="CV128">
        <f t="shared" si="107"/>
        <v>3.38</v>
      </c>
      <c r="CW128">
        <f t="shared" si="108"/>
        <v>0</v>
      </c>
      <c r="CX128">
        <f t="shared" si="109"/>
        <v>0</v>
      </c>
      <c r="CY128">
        <f t="shared" si="110"/>
        <v>20147.918000000001</v>
      </c>
      <c r="CZ128">
        <f t="shared" si="111"/>
        <v>2878.2740000000003</v>
      </c>
      <c r="DC128" t="s">
        <v>3</v>
      </c>
      <c r="DD128" t="s">
        <v>3</v>
      </c>
      <c r="DE128" t="s">
        <v>3</v>
      </c>
      <c r="DF128" t="s">
        <v>3</v>
      </c>
      <c r="DG128" t="s">
        <v>3</v>
      </c>
      <c r="DH128" t="s">
        <v>3</v>
      </c>
      <c r="DI128" t="s">
        <v>3</v>
      </c>
      <c r="DJ128" t="s">
        <v>3</v>
      </c>
      <c r="DK128" t="s">
        <v>3</v>
      </c>
      <c r="DL128" t="s">
        <v>3</v>
      </c>
      <c r="DM128" t="s">
        <v>3</v>
      </c>
      <c r="DN128">
        <v>0</v>
      </c>
      <c r="DO128">
        <v>0</v>
      </c>
      <c r="DP128">
        <v>1</v>
      </c>
      <c r="DQ128">
        <v>1</v>
      </c>
      <c r="DU128">
        <v>16987630</v>
      </c>
      <c r="DV128" t="s">
        <v>36</v>
      </c>
      <c r="DW128" t="s">
        <v>36</v>
      </c>
      <c r="DX128">
        <v>1</v>
      </c>
      <c r="DZ128" t="s">
        <v>3</v>
      </c>
      <c r="EA128" t="s">
        <v>3</v>
      </c>
      <c r="EB128" t="s">
        <v>3</v>
      </c>
      <c r="EC128" t="s">
        <v>3</v>
      </c>
      <c r="EE128">
        <v>1441815344</v>
      </c>
      <c r="EF128">
        <v>1</v>
      </c>
      <c r="EG128" t="s">
        <v>21</v>
      </c>
      <c r="EH128">
        <v>0</v>
      </c>
      <c r="EI128" t="s">
        <v>3</v>
      </c>
      <c r="EJ128">
        <v>4</v>
      </c>
      <c r="EK128">
        <v>0</v>
      </c>
      <c r="EL128" t="s">
        <v>22</v>
      </c>
      <c r="EM128" t="s">
        <v>23</v>
      </c>
      <c r="EO128" t="s">
        <v>3</v>
      </c>
      <c r="EQ128">
        <v>1311744</v>
      </c>
      <c r="ER128">
        <v>2061.2199999999998</v>
      </c>
      <c r="ES128">
        <v>5.31</v>
      </c>
      <c r="ET128">
        <v>0</v>
      </c>
      <c r="EU128">
        <v>0</v>
      </c>
      <c r="EV128">
        <v>2055.91</v>
      </c>
      <c r="EW128">
        <v>3.38</v>
      </c>
      <c r="EX128">
        <v>0</v>
      </c>
      <c r="EY128">
        <v>0</v>
      </c>
      <c r="FQ128">
        <v>0</v>
      </c>
      <c r="FR128">
        <f t="shared" si="112"/>
        <v>0</v>
      </c>
      <c r="FS128">
        <v>0</v>
      </c>
      <c r="FX128">
        <v>70</v>
      </c>
      <c r="FY128">
        <v>10</v>
      </c>
      <c r="GA128" t="s">
        <v>3</v>
      </c>
      <c r="GD128">
        <v>0</v>
      </c>
      <c r="GF128">
        <v>734292325</v>
      </c>
      <c r="GG128">
        <v>2</v>
      </c>
      <c r="GH128">
        <v>1</v>
      </c>
      <c r="GI128">
        <v>-2</v>
      </c>
      <c r="GJ128">
        <v>0</v>
      </c>
      <c r="GK128">
        <f>ROUND(R128*(R12)/100,2)</f>
        <v>0</v>
      </c>
      <c r="GL128">
        <f t="shared" si="113"/>
        <v>0</v>
      </c>
      <c r="GM128">
        <f t="shared" si="114"/>
        <v>51883.27</v>
      </c>
      <c r="GN128">
        <f t="shared" si="115"/>
        <v>0</v>
      </c>
      <c r="GO128">
        <f t="shared" si="116"/>
        <v>0</v>
      </c>
      <c r="GP128">
        <f t="shared" si="117"/>
        <v>51883.27</v>
      </c>
      <c r="GR128">
        <v>0</v>
      </c>
      <c r="GS128">
        <v>3</v>
      </c>
      <c r="GT128">
        <v>0</v>
      </c>
      <c r="GU128" t="s">
        <v>3</v>
      </c>
      <c r="GV128">
        <f t="shared" si="118"/>
        <v>0</v>
      </c>
      <c r="GW128">
        <v>1</v>
      </c>
      <c r="GX128">
        <f t="shared" si="119"/>
        <v>0</v>
      </c>
      <c r="HA128">
        <v>0</v>
      </c>
      <c r="HB128">
        <v>0</v>
      </c>
      <c r="HC128">
        <f t="shared" si="120"/>
        <v>0</v>
      </c>
      <c r="HE128" t="s">
        <v>3</v>
      </c>
      <c r="HF128" t="s">
        <v>3</v>
      </c>
      <c r="HM128" t="s">
        <v>3</v>
      </c>
      <c r="HN128" t="s">
        <v>3</v>
      </c>
      <c r="HO128" t="s">
        <v>3</v>
      </c>
      <c r="HP128" t="s">
        <v>3</v>
      </c>
      <c r="HQ128" t="s">
        <v>3</v>
      </c>
      <c r="IK128">
        <v>0</v>
      </c>
    </row>
    <row r="129" spans="1:245" x14ac:dyDescent="0.2">
      <c r="A129">
        <v>17</v>
      </c>
      <c r="B129">
        <v>1</v>
      </c>
      <c r="D129">
        <f>ROW(EtalonRes!A56)</f>
        <v>56</v>
      </c>
      <c r="E129" t="s">
        <v>175</v>
      </c>
      <c r="F129" t="s">
        <v>176</v>
      </c>
      <c r="G129" t="s">
        <v>177</v>
      </c>
      <c r="H129" t="s">
        <v>178</v>
      </c>
      <c r="I129">
        <f t="shared" si="86"/>
        <v>14</v>
      </c>
      <c r="J129">
        <v>0</v>
      </c>
      <c r="K129">
        <f t="shared" si="87"/>
        <v>14</v>
      </c>
      <c r="O129">
        <f t="shared" si="88"/>
        <v>13227.34</v>
      </c>
      <c r="P129">
        <f t="shared" si="89"/>
        <v>10.36</v>
      </c>
      <c r="Q129">
        <f t="shared" si="90"/>
        <v>25.06</v>
      </c>
      <c r="R129">
        <f t="shared" si="91"/>
        <v>0.28000000000000003</v>
      </c>
      <c r="S129">
        <f t="shared" si="92"/>
        <v>13191.92</v>
      </c>
      <c r="T129">
        <f t="shared" si="93"/>
        <v>0</v>
      </c>
      <c r="U129">
        <f t="shared" si="94"/>
        <v>19.88</v>
      </c>
      <c r="V129">
        <f t="shared" si="95"/>
        <v>0</v>
      </c>
      <c r="W129">
        <f t="shared" si="96"/>
        <v>0</v>
      </c>
      <c r="X129">
        <f t="shared" si="97"/>
        <v>9234.34</v>
      </c>
      <c r="Y129">
        <f t="shared" si="98"/>
        <v>1319.19</v>
      </c>
      <c r="AA129">
        <v>1471718271</v>
      </c>
      <c r="AB129">
        <f t="shared" si="99"/>
        <v>944.81</v>
      </c>
      <c r="AC129">
        <f>ROUND((ES129),6)</f>
        <v>0.74</v>
      </c>
      <c r="AD129">
        <f>ROUND((((ET129)-(EU129))+AE129),6)</f>
        <v>1.79</v>
      </c>
      <c r="AE129">
        <f>ROUND((EU129),6)</f>
        <v>0.02</v>
      </c>
      <c r="AF129">
        <f>ROUND((EV129),6)</f>
        <v>942.28</v>
      </c>
      <c r="AG129">
        <f t="shared" si="100"/>
        <v>0</v>
      </c>
      <c r="AH129">
        <f>(EW129)</f>
        <v>1.42</v>
      </c>
      <c r="AI129">
        <f>(EX129)</f>
        <v>0</v>
      </c>
      <c r="AJ129">
        <f t="shared" si="101"/>
        <v>0</v>
      </c>
      <c r="AK129">
        <v>944.81</v>
      </c>
      <c r="AL129">
        <v>0.74</v>
      </c>
      <c r="AM129">
        <v>1.79</v>
      </c>
      <c r="AN129">
        <v>0.02</v>
      </c>
      <c r="AO129">
        <v>942.28</v>
      </c>
      <c r="AP129">
        <v>0</v>
      </c>
      <c r="AQ129">
        <v>1.42</v>
      </c>
      <c r="AR129">
        <v>0</v>
      </c>
      <c r="AS129">
        <v>0</v>
      </c>
      <c r="AT129">
        <v>70</v>
      </c>
      <c r="AU129">
        <v>10</v>
      </c>
      <c r="AV129">
        <v>1</v>
      </c>
      <c r="AW129">
        <v>1</v>
      </c>
      <c r="AZ129">
        <v>1</v>
      </c>
      <c r="BA129">
        <v>1</v>
      </c>
      <c r="BB129">
        <v>1</v>
      </c>
      <c r="BC129">
        <v>1</v>
      </c>
      <c r="BD129" t="s">
        <v>3</v>
      </c>
      <c r="BE129" t="s">
        <v>3</v>
      </c>
      <c r="BF129" t="s">
        <v>3</v>
      </c>
      <c r="BG129" t="s">
        <v>3</v>
      </c>
      <c r="BH129">
        <v>0</v>
      </c>
      <c r="BI129">
        <v>4</v>
      </c>
      <c r="BJ129" t="s">
        <v>179</v>
      </c>
      <c r="BM129">
        <v>0</v>
      </c>
      <c r="BN129">
        <v>0</v>
      </c>
      <c r="BO129" t="s">
        <v>3</v>
      </c>
      <c r="BP129">
        <v>0</v>
      </c>
      <c r="BQ129">
        <v>1</v>
      </c>
      <c r="BR129">
        <v>0</v>
      </c>
      <c r="BS129">
        <v>1</v>
      </c>
      <c r="BT129">
        <v>1</v>
      </c>
      <c r="BU129">
        <v>1</v>
      </c>
      <c r="BV129">
        <v>1</v>
      </c>
      <c r="BW129">
        <v>1</v>
      </c>
      <c r="BX129">
        <v>1</v>
      </c>
      <c r="BY129" t="s">
        <v>3</v>
      </c>
      <c r="BZ129">
        <v>70</v>
      </c>
      <c r="CA129">
        <v>10</v>
      </c>
      <c r="CB129" t="s">
        <v>3</v>
      </c>
      <c r="CE129">
        <v>0</v>
      </c>
      <c r="CF129">
        <v>0</v>
      </c>
      <c r="CG129">
        <v>0</v>
      </c>
      <c r="CM129">
        <v>0</v>
      </c>
      <c r="CN129" t="s">
        <v>3</v>
      </c>
      <c r="CO129">
        <v>0</v>
      </c>
      <c r="CP129">
        <f t="shared" si="102"/>
        <v>13227.34</v>
      </c>
      <c r="CQ129">
        <f t="shared" si="103"/>
        <v>0.74</v>
      </c>
      <c r="CR129">
        <f>((((ET129)*BB129-(EU129)*BS129)+AE129*BS129)*AV129)</f>
        <v>1.79</v>
      </c>
      <c r="CS129">
        <f t="shared" si="104"/>
        <v>0.02</v>
      </c>
      <c r="CT129">
        <f t="shared" si="105"/>
        <v>942.28</v>
      </c>
      <c r="CU129">
        <f t="shared" si="106"/>
        <v>0</v>
      </c>
      <c r="CV129">
        <f t="shared" si="107"/>
        <v>1.42</v>
      </c>
      <c r="CW129">
        <f t="shared" si="108"/>
        <v>0</v>
      </c>
      <c r="CX129">
        <f t="shared" si="109"/>
        <v>0</v>
      </c>
      <c r="CY129">
        <f t="shared" si="110"/>
        <v>9234.344000000001</v>
      </c>
      <c r="CZ129">
        <f t="shared" si="111"/>
        <v>1319.192</v>
      </c>
      <c r="DC129" t="s">
        <v>3</v>
      </c>
      <c r="DD129" t="s">
        <v>3</v>
      </c>
      <c r="DE129" t="s">
        <v>3</v>
      </c>
      <c r="DF129" t="s">
        <v>3</v>
      </c>
      <c r="DG129" t="s">
        <v>3</v>
      </c>
      <c r="DH129" t="s">
        <v>3</v>
      </c>
      <c r="DI129" t="s">
        <v>3</v>
      </c>
      <c r="DJ129" t="s">
        <v>3</v>
      </c>
      <c r="DK129" t="s">
        <v>3</v>
      </c>
      <c r="DL129" t="s">
        <v>3</v>
      </c>
      <c r="DM129" t="s">
        <v>3</v>
      </c>
      <c r="DN129">
        <v>0</v>
      </c>
      <c r="DO129">
        <v>0</v>
      </c>
      <c r="DP129">
        <v>1</v>
      </c>
      <c r="DQ129">
        <v>1</v>
      </c>
      <c r="DU129">
        <v>1013</v>
      </c>
      <c r="DV129" t="s">
        <v>178</v>
      </c>
      <c r="DW129" t="s">
        <v>178</v>
      </c>
      <c r="DX129">
        <v>1</v>
      </c>
      <c r="DZ129" t="s">
        <v>3</v>
      </c>
      <c r="EA129" t="s">
        <v>3</v>
      </c>
      <c r="EB129" t="s">
        <v>3</v>
      </c>
      <c r="EC129" t="s">
        <v>3</v>
      </c>
      <c r="EE129">
        <v>1441815344</v>
      </c>
      <c r="EF129">
        <v>1</v>
      </c>
      <c r="EG129" t="s">
        <v>21</v>
      </c>
      <c r="EH129">
        <v>0</v>
      </c>
      <c r="EI129" t="s">
        <v>3</v>
      </c>
      <c r="EJ129">
        <v>4</v>
      </c>
      <c r="EK129">
        <v>0</v>
      </c>
      <c r="EL129" t="s">
        <v>22</v>
      </c>
      <c r="EM129" t="s">
        <v>23</v>
      </c>
      <c r="EO129" t="s">
        <v>3</v>
      </c>
      <c r="EQ129">
        <v>0</v>
      </c>
      <c r="ER129">
        <v>944.81</v>
      </c>
      <c r="ES129">
        <v>0.74</v>
      </c>
      <c r="ET129">
        <v>1.79</v>
      </c>
      <c r="EU129">
        <v>0.02</v>
      </c>
      <c r="EV129">
        <v>942.28</v>
      </c>
      <c r="EW129">
        <v>1.42</v>
      </c>
      <c r="EX129">
        <v>0</v>
      </c>
      <c r="EY129">
        <v>0</v>
      </c>
      <c r="FQ129">
        <v>0</v>
      </c>
      <c r="FR129">
        <f t="shared" si="112"/>
        <v>0</v>
      </c>
      <c r="FS129">
        <v>0</v>
      </c>
      <c r="FX129">
        <v>70</v>
      </c>
      <c r="FY129">
        <v>10</v>
      </c>
      <c r="GA129" t="s">
        <v>3</v>
      </c>
      <c r="GD129">
        <v>0</v>
      </c>
      <c r="GF129">
        <v>-1859605603</v>
      </c>
      <c r="GG129">
        <v>2</v>
      </c>
      <c r="GH129">
        <v>1</v>
      </c>
      <c r="GI129">
        <v>-2</v>
      </c>
      <c r="GJ129">
        <v>0</v>
      </c>
      <c r="GK129">
        <f>ROUND(R129*(R12)/100,2)</f>
        <v>0.3</v>
      </c>
      <c r="GL129">
        <f t="shared" si="113"/>
        <v>0</v>
      </c>
      <c r="GM129">
        <f t="shared" si="114"/>
        <v>23781.17</v>
      </c>
      <c r="GN129">
        <f t="shared" si="115"/>
        <v>0</v>
      </c>
      <c r="GO129">
        <f t="shared" si="116"/>
        <v>0</v>
      </c>
      <c r="GP129">
        <f t="shared" si="117"/>
        <v>23781.17</v>
      </c>
      <c r="GR129">
        <v>0</v>
      </c>
      <c r="GS129">
        <v>3</v>
      </c>
      <c r="GT129">
        <v>0</v>
      </c>
      <c r="GU129" t="s">
        <v>3</v>
      </c>
      <c r="GV129">
        <f t="shared" si="118"/>
        <v>0</v>
      </c>
      <c r="GW129">
        <v>1</v>
      </c>
      <c r="GX129">
        <f t="shared" si="119"/>
        <v>0</v>
      </c>
      <c r="HA129">
        <v>0</v>
      </c>
      <c r="HB129">
        <v>0</v>
      </c>
      <c r="HC129">
        <f t="shared" si="120"/>
        <v>0</v>
      </c>
      <c r="HE129" t="s">
        <v>3</v>
      </c>
      <c r="HF129" t="s">
        <v>3</v>
      </c>
      <c r="HM129" t="s">
        <v>3</v>
      </c>
      <c r="HN129" t="s">
        <v>3</v>
      </c>
      <c r="HO129" t="s">
        <v>3</v>
      </c>
      <c r="HP129" t="s">
        <v>3</v>
      </c>
      <c r="HQ129" t="s">
        <v>3</v>
      </c>
      <c r="IK129">
        <v>0</v>
      </c>
    </row>
    <row r="130" spans="1:245" x14ac:dyDescent="0.2">
      <c r="A130">
        <v>17</v>
      </c>
      <c r="B130">
        <v>1</v>
      </c>
      <c r="D130">
        <f>ROW(EtalonRes!A58)</f>
        <v>58</v>
      </c>
      <c r="E130" t="s">
        <v>3</v>
      </c>
      <c r="F130" t="s">
        <v>180</v>
      </c>
      <c r="G130" t="s">
        <v>181</v>
      </c>
      <c r="H130" t="s">
        <v>178</v>
      </c>
      <c r="I130">
        <f t="shared" si="86"/>
        <v>14</v>
      </c>
      <c r="J130">
        <v>0</v>
      </c>
      <c r="K130">
        <f t="shared" si="87"/>
        <v>14</v>
      </c>
      <c r="O130">
        <f t="shared" si="88"/>
        <v>21751.8</v>
      </c>
      <c r="P130">
        <f t="shared" si="89"/>
        <v>13.02</v>
      </c>
      <c r="Q130">
        <f t="shared" si="90"/>
        <v>0</v>
      </c>
      <c r="R130">
        <f t="shared" si="91"/>
        <v>0</v>
      </c>
      <c r="S130">
        <f t="shared" si="92"/>
        <v>21738.78</v>
      </c>
      <c r="T130">
        <f t="shared" si="93"/>
        <v>0</v>
      </c>
      <c r="U130">
        <f t="shared" si="94"/>
        <v>32.76</v>
      </c>
      <c r="V130">
        <f t="shared" si="95"/>
        <v>0</v>
      </c>
      <c r="W130">
        <f t="shared" si="96"/>
        <v>0</v>
      </c>
      <c r="X130">
        <f t="shared" si="97"/>
        <v>15217.15</v>
      </c>
      <c r="Y130">
        <f t="shared" si="98"/>
        <v>2173.88</v>
      </c>
      <c r="AA130">
        <v>-1</v>
      </c>
      <c r="AB130">
        <f t="shared" si="99"/>
        <v>1553.7</v>
      </c>
      <c r="AC130">
        <f>ROUND(((ES130*3)),6)</f>
        <v>0.93</v>
      </c>
      <c r="AD130">
        <f>ROUND(((((ET130*3))-((EU130*3)))+AE130),6)</f>
        <v>0</v>
      </c>
      <c r="AE130">
        <f>ROUND(((EU130*3)),6)</f>
        <v>0</v>
      </c>
      <c r="AF130">
        <f>ROUND(((EV130*3)),6)</f>
        <v>1552.77</v>
      </c>
      <c r="AG130">
        <f t="shared" si="100"/>
        <v>0</v>
      </c>
      <c r="AH130">
        <f>((EW130*3))</f>
        <v>2.34</v>
      </c>
      <c r="AI130">
        <f>((EX130*3))</f>
        <v>0</v>
      </c>
      <c r="AJ130">
        <f t="shared" si="101"/>
        <v>0</v>
      </c>
      <c r="AK130">
        <v>517.9</v>
      </c>
      <c r="AL130">
        <v>0.31</v>
      </c>
      <c r="AM130">
        <v>0</v>
      </c>
      <c r="AN130">
        <v>0</v>
      </c>
      <c r="AO130">
        <v>517.59</v>
      </c>
      <c r="AP130">
        <v>0</v>
      </c>
      <c r="AQ130">
        <v>0.78</v>
      </c>
      <c r="AR130">
        <v>0</v>
      </c>
      <c r="AS130">
        <v>0</v>
      </c>
      <c r="AT130">
        <v>70</v>
      </c>
      <c r="AU130">
        <v>10</v>
      </c>
      <c r="AV130">
        <v>1</v>
      </c>
      <c r="AW130">
        <v>1</v>
      </c>
      <c r="AZ130">
        <v>1</v>
      </c>
      <c r="BA130">
        <v>1</v>
      </c>
      <c r="BB130">
        <v>1</v>
      </c>
      <c r="BC130">
        <v>1</v>
      </c>
      <c r="BD130" t="s">
        <v>3</v>
      </c>
      <c r="BE130" t="s">
        <v>3</v>
      </c>
      <c r="BF130" t="s">
        <v>3</v>
      </c>
      <c r="BG130" t="s">
        <v>3</v>
      </c>
      <c r="BH130">
        <v>0</v>
      </c>
      <c r="BI130">
        <v>4</v>
      </c>
      <c r="BJ130" t="s">
        <v>182</v>
      </c>
      <c r="BM130">
        <v>0</v>
      </c>
      <c r="BN130">
        <v>0</v>
      </c>
      <c r="BO130" t="s">
        <v>3</v>
      </c>
      <c r="BP130">
        <v>0</v>
      </c>
      <c r="BQ130">
        <v>1</v>
      </c>
      <c r="BR130">
        <v>0</v>
      </c>
      <c r="BS130">
        <v>1</v>
      </c>
      <c r="BT130">
        <v>1</v>
      </c>
      <c r="BU130">
        <v>1</v>
      </c>
      <c r="BV130">
        <v>1</v>
      </c>
      <c r="BW130">
        <v>1</v>
      </c>
      <c r="BX130">
        <v>1</v>
      </c>
      <c r="BY130" t="s">
        <v>3</v>
      </c>
      <c r="BZ130">
        <v>70</v>
      </c>
      <c r="CA130">
        <v>10</v>
      </c>
      <c r="CB130" t="s">
        <v>3</v>
      </c>
      <c r="CE130">
        <v>0</v>
      </c>
      <c r="CF130">
        <v>0</v>
      </c>
      <c r="CG130">
        <v>0</v>
      </c>
      <c r="CM130">
        <v>0</v>
      </c>
      <c r="CN130" t="s">
        <v>3</v>
      </c>
      <c r="CO130">
        <v>0</v>
      </c>
      <c r="CP130">
        <f t="shared" si="102"/>
        <v>21751.8</v>
      </c>
      <c r="CQ130">
        <f t="shared" si="103"/>
        <v>0.93</v>
      </c>
      <c r="CR130">
        <f>(((((ET130*3))*BB130-((EU130*3))*BS130)+AE130*BS130)*AV130)</f>
        <v>0</v>
      </c>
      <c r="CS130">
        <f t="shared" si="104"/>
        <v>0</v>
      </c>
      <c r="CT130">
        <f t="shared" si="105"/>
        <v>1552.77</v>
      </c>
      <c r="CU130">
        <f t="shared" si="106"/>
        <v>0</v>
      </c>
      <c r="CV130">
        <f t="shared" si="107"/>
        <v>2.34</v>
      </c>
      <c r="CW130">
        <f t="shared" si="108"/>
        <v>0</v>
      </c>
      <c r="CX130">
        <f t="shared" si="109"/>
        <v>0</v>
      </c>
      <c r="CY130">
        <f t="shared" si="110"/>
        <v>15217.145999999999</v>
      </c>
      <c r="CZ130">
        <f t="shared" si="111"/>
        <v>2173.8779999999997</v>
      </c>
      <c r="DC130" t="s">
        <v>3</v>
      </c>
      <c r="DD130" t="s">
        <v>163</v>
      </c>
      <c r="DE130" t="s">
        <v>163</v>
      </c>
      <c r="DF130" t="s">
        <v>163</v>
      </c>
      <c r="DG130" t="s">
        <v>163</v>
      </c>
      <c r="DH130" t="s">
        <v>3</v>
      </c>
      <c r="DI130" t="s">
        <v>163</v>
      </c>
      <c r="DJ130" t="s">
        <v>163</v>
      </c>
      <c r="DK130" t="s">
        <v>3</v>
      </c>
      <c r="DL130" t="s">
        <v>3</v>
      </c>
      <c r="DM130" t="s">
        <v>3</v>
      </c>
      <c r="DN130">
        <v>0</v>
      </c>
      <c r="DO130">
        <v>0</v>
      </c>
      <c r="DP130">
        <v>1</v>
      </c>
      <c r="DQ130">
        <v>1</v>
      </c>
      <c r="DU130">
        <v>1013</v>
      </c>
      <c r="DV130" t="s">
        <v>178</v>
      </c>
      <c r="DW130" t="s">
        <v>178</v>
      </c>
      <c r="DX130">
        <v>1</v>
      </c>
      <c r="DZ130" t="s">
        <v>3</v>
      </c>
      <c r="EA130" t="s">
        <v>3</v>
      </c>
      <c r="EB130" t="s">
        <v>3</v>
      </c>
      <c r="EC130" t="s">
        <v>3</v>
      </c>
      <c r="EE130">
        <v>1441815344</v>
      </c>
      <c r="EF130">
        <v>1</v>
      </c>
      <c r="EG130" t="s">
        <v>21</v>
      </c>
      <c r="EH130">
        <v>0</v>
      </c>
      <c r="EI130" t="s">
        <v>3</v>
      </c>
      <c r="EJ130">
        <v>4</v>
      </c>
      <c r="EK130">
        <v>0</v>
      </c>
      <c r="EL130" t="s">
        <v>22</v>
      </c>
      <c r="EM130" t="s">
        <v>23</v>
      </c>
      <c r="EO130" t="s">
        <v>3</v>
      </c>
      <c r="EQ130">
        <v>1024</v>
      </c>
      <c r="ER130">
        <v>517.9</v>
      </c>
      <c r="ES130">
        <v>0.31</v>
      </c>
      <c r="ET130">
        <v>0</v>
      </c>
      <c r="EU130">
        <v>0</v>
      </c>
      <c r="EV130">
        <v>517.59</v>
      </c>
      <c r="EW130">
        <v>0.78</v>
      </c>
      <c r="EX130">
        <v>0</v>
      </c>
      <c r="EY130">
        <v>0</v>
      </c>
      <c r="FQ130">
        <v>0</v>
      </c>
      <c r="FR130">
        <f t="shared" si="112"/>
        <v>0</v>
      </c>
      <c r="FS130">
        <v>0</v>
      </c>
      <c r="FX130">
        <v>70</v>
      </c>
      <c r="FY130">
        <v>10</v>
      </c>
      <c r="GA130" t="s">
        <v>3</v>
      </c>
      <c r="GD130">
        <v>0</v>
      </c>
      <c r="GF130">
        <v>1835675401</v>
      </c>
      <c r="GG130">
        <v>2</v>
      </c>
      <c r="GH130">
        <v>1</v>
      </c>
      <c r="GI130">
        <v>-2</v>
      </c>
      <c r="GJ130">
        <v>0</v>
      </c>
      <c r="GK130">
        <f>ROUND(R130*(R12)/100,2)</f>
        <v>0</v>
      </c>
      <c r="GL130">
        <f t="shared" si="113"/>
        <v>0</v>
      </c>
      <c r="GM130">
        <f t="shared" si="114"/>
        <v>39142.83</v>
      </c>
      <c r="GN130">
        <f t="shared" si="115"/>
        <v>0</v>
      </c>
      <c r="GO130">
        <f t="shared" si="116"/>
        <v>0</v>
      </c>
      <c r="GP130">
        <f t="shared" si="117"/>
        <v>39142.83</v>
      </c>
      <c r="GR130">
        <v>0</v>
      </c>
      <c r="GS130">
        <v>3</v>
      </c>
      <c r="GT130">
        <v>0</v>
      </c>
      <c r="GU130" t="s">
        <v>3</v>
      </c>
      <c r="GV130">
        <f t="shared" si="118"/>
        <v>0</v>
      </c>
      <c r="GW130">
        <v>1</v>
      </c>
      <c r="GX130">
        <f t="shared" si="119"/>
        <v>0</v>
      </c>
      <c r="HA130">
        <v>0</v>
      </c>
      <c r="HB130">
        <v>0</v>
      </c>
      <c r="HC130">
        <f t="shared" si="120"/>
        <v>0</v>
      </c>
      <c r="HE130" t="s">
        <v>3</v>
      </c>
      <c r="HF130" t="s">
        <v>3</v>
      </c>
      <c r="HM130" t="s">
        <v>3</v>
      </c>
      <c r="HN130" t="s">
        <v>3</v>
      </c>
      <c r="HO130" t="s">
        <v>3</v>
      </c>
      <c r="HP130" t="s">
        <v>3</v>
      </c>
      <c r="HQ130" t="s">
        <v>3</v>
      </c>
      <c r="IK130">
        <v>0</v>
      </c>
    </row>
    <row r="131" spans="1:245" x14ac:dyDescent="0.2">
      <c r="A131">
        <v>17</v>
      </c>
      <c r="B131">
        <v>1</v>
      </c>
      <c r="D131">
        <f>ROW(EtalonRes!A61)</f>
        <v>61</v>
      </c>
      <c r="E131" t="s">
        <v>183</v>
      </c>
      <c r="F131" t="s">
        <v>184</v>
      </c>
      <c r="G131" t="s">
        <v>185</v>
      </c>
      <c r="H131" t="s">
        <v>178</v>
      </c>
      <c r="I131">
        <f t="shared" si="86"/>
        <v>14</v>
      </c>
      <c r="J131">
        <v>0</v>
      </c>
      <c r="K131">
        <f t="shared" si="87"/>
        <v>14</v>
      </c>
      <c r="O131">
        <f t="shared" si="88"/>
        <v>23101.4</v>
      </c>
      <c r="P131">
        <f t="shared" si="89"/>
        <v>13.16</v>
      </c>
      <c r="Q131">
        <f t="shared" si="90"/>
        <v>48.86</v>
      </c>
      <c r="R131">
        <f t="shared" si="91"/>
        <v>0.7</v>
      </c>
      <c r="S131">
        <f t="shared" si="92"/>
        <v>23039.38</v>
      </c>
      <c r="T131">
        <f t="shared" si="93"/>
        <v>0</v>
      </c>
      <c r="U131">
        <f t="shared" si="94"/>
        <v>34.72</v>
      </c>
      <c r="V131">
        <f t="shared" si="95"/>
        <v>0</v>
      </c>
      <c r="W131">
        <f t="shared" si="96"/>
        <v>0</v>
      </c>
      <c r="X131">
        <f t="shared" si="97"/>
        <v>16127.57</v>
      </c>
      <c r="Y131">
        <f t="shared" si="98"/>
        <v>2303.94</v>
      </c>
      <c r="AA131">
        <v>1471718271</v>
      </c>
      <c r="AB131">
        <f t="shared" si="99"/>
        <v>1650.1</v>
      </c>
      <c r="AC131">
        <f>ROUND((ES131),6)</f>
        <v>0.94</v>
      </c>
      <c r="AD131">
        <f>ROUND((((ET131)-(EU131))+AE131),6)</f>
        <v>3.49</v>
      </c>
      <c r="AE131">
        <f>ROUND((EU131),6)</f>
        <v>0.05</v>
      </c>
      <c r="AF131">
        <f>ROUND((EV131),6)</f>
        <v>1645.67</v>
      </c>
      <c r="AG131">
        <f t="shared" si="100"/>
        <v>0</v>
      </c>
      <c r="AH131">
        <f>(EW131)</f>
        <v>2.48</v>
      </c>
      <c r="AI131">
        <f>(EX131)</f>
        <v>0</v>
      </c>
      <c r="AJ131">
        <f t="shared" si="101"/>
        <v>0</v>
      </c>
      <c r="AK131">
        <v>1650.1</v>
      </c>
      <c r="AL131">
        <v>0.94</v>
      </c>
      <c r="AM131">
        <v>3.49</v>
      </c>
      <c r="AN131">
        <v>0.05</v>
      </c>
      <c r="AO131">
        <v>1645.67</v>
      </c>
      <c r="AP131">
        <v>0</v>
      </c>
      <c r="AQ131">
        <v>2.48</v>
      </c>
      <c r="AR131">
        <v>0</v>
      </c>
      <c r="AS131">
        <v>0</v>
      </c>
      <c r="AT131">
        <v>70</v>
      </c>
      <c r="AU131">
        <v>10</v>
      </c>
      <c r="AV131">
        <v>1</v>
      </c>
      <c r="AW131">
        <v>1</v>
      </c>
      <c r="AZ131">
        <v>1</v>
      </c>
      <c r="BA131">
        <v>1</v>
      </c>
      <c r="BB131">
        <v>1</v>
      </c>
      <c r="BC131">
        <v>1</v>
      </c>
      <c r="BD131" t="s">
        <v>3</v>
      </c>
      <c r="BE131" t="s">
        <v>3</v>
      </c>
      <c r="BF131" t="s">
        <v>3</v>
      </c>
      <c r="BG131" t="s">
        <v>3</v>
      </c>
      <c r="BH131">
        <v>0</v>
      </c>
      <c r="BI131">
        <v>4</v>
      </c>
      <c r="BJ131" t="s">
        <v>186</v>
      </c>
      <c r="BM131">
        <v>0</v>
      </c>
      <c r="BN131">
        <v>0</v>
      </c>
      <c r="BO131" t="s">
        <v>3</v>
      </c>
      <c r="BP131">
        <v>0</v>
      </c>
      <c r="BQ131">
        <v>1</v>
      </c>
      <c r="BR131">
        <v>0</v>
      </c>
      <c r="BS131">
        <v>1</v>
      </c>
      <c r="BT131">
        <v>1</v>
      </c>
      <c r="BU131">
        <v>1</v>
      </c>
      <c r="BV131">
        <v>1</v>
      </c>
      <c r="BW131">
        <v>1</v>
      </c>
      <c r="BX131">
        <v>1</v>
      </c>
      <c r="BY131" t="s">
        <v>3</v>
      </c>
      <c r="BZ131">
        <v>70</v>
      </c>
      <c r="CA131">
        <v>10</v>
      </c>
      <c r="CB131" t="s">
        <v>3</v>
      </c>
      <c r="CE131">
        <v>0</v>
      </c>
      <c r="CF131">
        <v>0</v>
      </c>
      <c r="CG131">
        <v>0</v>
      </c>
      <c r="CM131">
        <v>0</v>
      </c>
      <c r="CN131" t="s">
        <v>3</v>
      </c>
      <c r="CO131">
        <v>0</v>
      </c>
      <c r="CP131">
        <f t="shared" si="102"/>
        <v>23101.4</v>
      </c>
      <c r="CQ131">
        <f t="shared" si="103"/>
        <v>0.94</v>
      </c>
      <c r="CR131">
        <f>((((ET131)*BB131-(EU131)*BS131)+AE131*BS131)*AV131)</f>
        <v>3.49</v>
      </c>
      <c r="CS131">
        <f t="shared" si="104"/>
        <v>0.05</v>
      </c>
      <c r="CT131">
        <f t="shared" si="105"/>
        <v>1645.67</v>
      </c>
      <c r="CU131">
        <f t="shared" si="106"/>
        <v>0</v>
      </c>
      <c r="CV131">
        <f t="shared" si="107"/>
        <v>2.48</v>
      </c>
      <c r="CW131">
        <f t="shared" si="108"/>
        <v>0</v>
      </c>
      <c r="CX131">
        <f t="shared" si="109"/>
        <v>0</v>
      </c>
      <c r="CY131">
        <f t="shared" si="110"/>
        <v>16127.566000000001</v>
      </c>
      <c r="CZ131">
        <f t="shared" si="111"/>
        <v>2303.9380000000001</v>
      </c>
      <c r="DC131" t="s">
        <v>3</v>
      </c>
      <c r="DD131" t="s">
        <v>3</v>
      </c>
      <c r="DE131" t="s">
        <v>3</v>
      </c>
      <c r="DF131" t="s">
        <v>3</v>
      </c>
      <c r="DG131" t="s">
        <v>3</v>
      </c>
      <c r="DH131" t="s">
        <v>3</v>
      </c>
      <c r="DI131" t="s">
        <v>3</v>
      </c>
      <c r="DJ131" t="s">
        <v>3</v>
      </c>
      <c r="DK131" t="s">
        <v>3</v>
      </c>
      <c r="DL131" t="s">
        <v>3</v>
      </c>
      <c r="DM131" t="s">
        <v>3</v>
      </c>
      <c r="DN131">
        <v>0</v>
      </c>
      <c r="DO131">
        <v>0</v>
      </c>
      <c r="DP131">
        <v>1</v>
      </c>
      <c r="DQ131">
        <v>1</v>
      </c>
      <c r="DU131">
        <v>1013</v>
      </c>
      <c r="DV131" t="s">
        <v>178</v>
      </c>
      <c r="DW131" t="s">
        <v>178</v>
      </c>
      <c r="DX131">
        <v>1</v>
      </c>
      <c r="DZ131" t="s">
        <v>3</v>
      </c>
      <c r="EA131" t="s">
        <v>3</v>
      </c>
      <c r="EB131" t="s">
        <v>3</v>
      </c>
      <c r="EC131" t="s">
        <v>3</v>
      </c>
      <c r="EE131">
        <v>1441815344</v>
      </c>
      <c r="EF131">
        <v>1</v>
      </c>
      <c r="EG131" t="s">
        <v>21</v>
      </c>
      <c r="EH131">
        <v>0</v>
      </c>
      <c r="EI131" t="s">
        <v>3</v>
      </c>
      <c r="EJ131">
        <v>4</v>
      </c>
      <c r="EK131">
        <v>0</v>
      </c>
      <c r="EL131" t="s">
        <v>22</v>
      </c>
      <c r="EM131" t="s">
        <v>23</v>
      </c>
      <c r="EO131" t="s">
        <v>3</v>
      </c>
      <c r="EQ131">
        <v>0</v>
      </c>
      <c r="ER131">
        <v>1650.1</v>
      </c>
      <c r="ES131">
        <v>0.94</v>
      </c>
      <c r="ET131">
        <v>3.49</v>
      </c>
      <c r="EU131">
        <v>0.05</v>
      </c>
      <c r="EV131">
        <v>1645.67</v>
      </c>
      <c r="EW131">
        <v>2.48</v>
      </c>
      <c r="EX131">
        <v>0</v>
      </c>
      <c r="EY131">
        <v>0</v>
      </c>
      <c r="FQ131">
        <v>0</v>
      </c>
      <c r="FR131">
        <f t="shared" si="112"/>
        <v>0</v>
      </c>
      <c r="FS131">
        <v>0</v>
      </c>
      <c r="FX131">
        <v>70</v>
      </c>
      <c r="FY131">
        <v>10</v>
      </c>
      <c r="GA131" t="s">
        <v>3</v>
      </c>
      <c r="GD131">
        <v>0</v>
      </c>
      <c r="GF131">
        <v>-837754666</v>
      </c>
      <c r="GG131">
        <v>2</v>
      </c>
      <c r="GH131">
        <v>1</v>
      </c>
      <c r="GI131">
        <v>-2</v>
      </c>
      <c r="GJ131">
        <v>0</v>
      </c>
      <c r="GK131">
        <f>ROUND(R131*(R12)/100,2)</f>
        <v>0.76</v>
      </c>
      <c r="GL131">
        <f t="shared" si="113"/>
        <v>0</v>
      </c>
      <c r="GM131">
        <f t="shared" si="114"/>
        <v>41533.67</v>
      </c>
      <c r="GN131">
        <f t="shared" si="115"/>
        <v>0</v>
      </c>
      <c r="GO131">
        <f t="shared" si="116"/>
        <v>0</v>
      </c>
      <c r="GP131">
        <f t="shared" si="117"/>
        <v>41533.67</v>
      </c>
      <c r="GR131">
        <v>0</v>
      </c>
      <c r="GS131">
        <v>3</v>
      </c>
      <c r="GT131">
        <v>0</v>
      </c>
      <c r="GU131" t="s">
        <v>3</v>
      </c>
      <c r="GV131">
        <f t="shared" si="118"/>
        <v>0</v>
      </c>
      <c r="GW131">
        <v>1</v>
      </c>
      <c r="GX131">
        <f t="shared" si="119"/>
        <v>0</v>
      </c>
      <c r="HA131">
        <v>0</v>
      </c>
      <c r="HB131">
        <v>0</v>
      </c>
      <c r="HC131">
        <f t="shared" si="120"/>
        <v>0</v>
      </c>
      <c r="HE131" t="s">
        <v>3</v>
      </c>
      <c r="HF131" t="s">
        <v>3</v>
      </c>
      <c r="HM131" t="s">
        <v>3</v>
      </c>
      <c r="HN131" t="s">
        <v>3</v>
      </c>
      <c r="HO131" t="s">
        <v>3</v>
      </c>
      <c r="HP131" t="s">
        <v>3</v>
      </c>
      <c r="HQ131" t="s">
        <v>3</v>
      </c>
      <c r="IK131">
        <v>0</v>
      </c>
    </row>
    <row r="132" spans="1:245" x14ac:dyDescent="0.2">
      <c r="A132">
        <v>17</v>
      </c>
      <c r="B132">
        <v>1</v>
      </c>
      <c r="D132">
        <f>ROW(EtalonRes!A64)</f>
        <v>64</v>
      </c>
      <c r="E132" t="s">
        <v>3</v>
      </c>
      <c r="F132" t="s">
        <v>187</v>
      </c>
      <c r="G132" t="s">
        <v>188</v>
      </c>
      <c r="H132" t="s">
        <v>178</v>
      </c>
      <c r="I132">
        <f t="shared" si="86"/>
        <v>14</v>
      </c>
      <c r="J132">
        <v>0</v>
      </c>
      <c r="K132">
        <f t="shared" si="87"/>
        <v>14</v>
      </c>
      <c r="O132">
        <f t="shared" si="88"/>
        <v>52024.56</v>
      </c>
      <c r="P132">
        <f t="shared" si="89"/>
        <v>39.479999999999997</v>
      </c>
      <c r="Q132">
        <f t="shared" si="90"/>
        <v>146.58000000000001</v>
      </c>
      <c r="R132">
        <f t="shared" si="91"/>
        <v>2.1</v>
      </c>
      <c r="S132">
        <f t="shared" si="92"/>
        <v>51838.5</v>
      </c>
      <c r="T132">
        <f t="shared" si="93"/>
        <v>0</v>
      </c>
      <c r="U132">
        <f t="shared" si="94"/>
        <v>78.12</v>
      </c>
      <c r="V132">
        <f t="shared" si="95"/>
        <v>0</v>
      </c>
      <c r="W132">
        <f t="shared" si="96"/>
        <v>0</v>
      </c>
      <c r="X132">
        <f t="shared" si="97"/>
        <v>36286.949999999997</v>
      </c>
      <c r="Y132">
        <f t="shared" si="98"/>
        <v>5183.8500000000004</v>
      </c>
      <c r="AA132">
        <v>-1</v>
      </c>
      <c r="AB132">
        <f t="shared" si="99"/>
        <v>3716.04</v>
      </c>
      <c r="AC132">
        <f>ROUND(((ES132*3)),6)</f>
        <v>2.82</v>
      </c>
      <c r="AD132">
        <f>ROUND(((((ET132*3))-((EU132*3)))+AE132),6)</f>
        <v>10.47</v>
      </c>
      <c r="AE132">
        <f>ROUND(((EU132*3)),6)</f>
        <v>0.15</v>
      </c>
      <c r="AF132">
        <f>ROUND(((EV132*3)),6)</f>
        <v>3702.75</v>
      </c>
      <c r="AG132">
        <f t="shared" si="100"/>
        <v>0</v>
      </c>
      <c r="AH132">
        <f>((EW132*3))</f>
        <v>5.58</v>
      </c>
      <c r="AI132">
        <f>((EX132*3))</f>
        <v>0</v>
      </c>
      <c r="AJ132">
        <f t="shared" si="101"/>
        <v>0</v>
      </c>
      <c r="AK132">
        <v>1238.68</v>
      </c>
      <c r="AL132">
        <v>0.94</v>
      </c>
      <c r="AM132">
        <v>3.49</v>
      </c>
      <c r="AN132">
        <v>0.05</v>
      </c>
      <c r="AO132">
        <v>1234.25</v>
      </c>
      <c r="AP132">
        <v>0</v>
      </c>
      <c r="AQ132">
        <v>1.86</v>
      </c>
      <c r="AR132">
        <v>0</v>
      </c>
      <c r="AS132">
        <v>0</v>
      </c>
      <c r="AT132">
        <v>70</v>
      </c>
      <c r="AU132">
        <v>10</v>
      </c>
      <c r="AV132">
        <v>1</v>
      </c>
      <c r="AW132">
        <v>1</v>
      </c>
      <c r="AZ132">
        <v>1</v>
      </c>
      <c r="BA132">
        <v>1</v>
      </c>
      <c r="BB132">
        <v>1</v>
      </c>
      <c r="BC132">
        <v>1</v>
      </c>
      <c r="BD132" t="s">
        <v>3</v>
      </c>
      <c r="BE132" t="s">
        <v>3</v>
      </c>
      <c r="BF132" t="s">
        <v>3</v>
      </c>
      <c r="BG132" t="s">
        <v>3</v>
      </c>
      <c r="BH132">
        <v>0</v>
      </c>
      <c r="BI132">
        <v>4</v>
      </c>
      <c r="BJ132" t="s">
        <v>189</v>
      </c>
      <c r="BM132">
        <v>0</v>
      </c>
      <c r="BN132">
        <v>0</v>
      </c>
      <c r="BO132" t="s">
        <v>3</v>
      </c>
      <c r="BP132">
        <v>0</v>
      </c>
      <c r="BQ132">
        <v>1</v>
      </c>
      <c r="BR132">
        <v>0</v>
      </c>
      <c r="BS132">
        <v>1</v>
      </c>
      <c r="BT132">
        <v>1</v>
      </c>
      <c r="BU132">
        <v>1</v>
      </c>
      <c r="BV132">
        <v>1</v>
      </c>
      <c r="BW132">
        <v>1</v>
      </c>
      <c r="BX132">
        <v>1</v>
      </c>
      <c r="BY132" t="s">
        <v>3</v>
      </c>
      <c r="BZ132">
        <v>70</v>
      </c>
      <c r="CA132">
        <v>10</v>
      </c>
      <c r="CB132" t="s">
        <v>3</v>
      </c>
      <c r="CE132">
        <v>0</v>
      </c>
      <c r="CF132">
        <v>0</v>
      </c>
      <c r="CG132">
        <v>0</v>
      </c>
      <c r="CM132">
        <v>0</v>
      </c>
      <c r="CN132" t="s">
        <v>3</v>
      </c>
      <c r="CO132">
        <v>0</v>
      </c>
      <c r="CP132">
        <f t="shared" si="102"/>
        <v>52024.56</v>
      </c>
      <c r="CQ132">
        <f t="shared" si="103"/>
        <v>2.82</v>
      </c>
      <c r="CR132">
        <f>(((((ET132*3))*BB132-((EU132*3))*BS132)+AE132*BS132)*AV132)</f>
        <v>10.47</v>
      </c>
      <c r="CS132">
        <f t="shared" si="104"/>
        <v>0.15</v>
      </c>
      <c r="CT132">
        <f t="shared" si="105"/>
        <v>3702.75</v>
      </c>
      <c r="CU132">
        <f t="shared" si="106"/>
        <v>0</v>
      </c>
      <c r="CV132">
        <f t="shared" si="107"/>
        <v>5.58</v>
      </c>
      <c r="CW132">
        <f t="shared" si="108"/>
        <v>0</v>
      </c>
      <c r="CX132">
        <f t="shared" si="109"/>
        <v>0</v>
      </c>
      <c r="CY132">
        <f t="shared" si="110"/>
        <v>36286.949999999997</v>
      </c>
      <c r="CZ132">
        <f t="shared" si="111"/>
        <v>5183.8500000000004</v>
      </c>
      <c r="DC132" t="s">
        <v>3</v>
      </c>
      <c r="DD132" t="s">
        <v>163</v>
      </c>
      <c r="DE132" t="s">
        <v>163</v>
      </c>
      <c r="DF132" t="s">
        <v>163</v>
      </c>
      <c r="DG132" t="s">
        <v>163</v>
      </c>
      <c r="DH132" t="s">
        <v>3</v>
      </c>
      <c r="DI132" t="s">
        <v>163</v>
      </c>
      <c r="DJ132" t="s">
        <v>163</v>
      </c>
      <c r="DK132" t="s">
        <v>3</v>
      </c>
      <c r="DL132" t="s">
        <v>3</v>
      </c>
      <c r="DM132" t="s">
        <v>3</v>
      </c>
      <c r="DN132">
        <v>0</v>
      </c>
      <c r="DO132">
        <v>0</v>
      </c>
      <c r="DP132">
        <v>1</v>
      </c>
      <c r="DQ132">
        <v>1</v>
      </c>
      <c r="DU132">
        <v>1013</v>
      </c>
      <c r="DV132" t="s">
        <v>178</v>
      </c>
      <c r="DW132" t="s">
        <v>178</v>
      </c>
      <c r="DX132">
        <v>1</v>
      </c>
      <c r="DZ132" t="s">
        <v>3</v>
      </c>
      <c r="EA132" t="s">
        <v>3</v>
      </c>
      <c r="EB132" t="s">
        <v>3</v>
      </c>
      <c r="EC132" t="s">
        <v>3</v>
      </c>
      <c r="EE132">
        <v>1441815344</v>
      </c>
      <c r="EF132">
        <v>1</v>
      </c>
      <c r="EG132" t="s">
        <v>21</v>
      </c>
      <c r="EH132">
        <v>0</v>
      </c>
      <c r="EI132" t="s">
        <v>3</v>
      </c>
      <c r="EJ132">
        <v>4</v>
      </c>
      <c r="EK132">
        <v>0</v>
      </c>
      <c r="EL132" t="s">
        <v>22</v>
      </c>
      <c r="EM132" t="s">
        <v>23</v>
      </c>
      <c r="EO132" t="s">
        <v>3</v>
      </c>
      <c r="EQ132">
        <v>1024</v>
      </c>
      <c r="ER132">
        <v>1238.68</v>
      </c>
      <c r="ES132">
        <v>0.94</v>
      </c>
      <c r="ET132">
        <v>3.49</v>
      </c>
      <c r="EU132">
        <v>0.05</v>
      </c>
      <c r="EV132">
        <v>1234.25</v>
      </c>
      <c r="EW132">
        <v>1.86</v>
      </c>
      <c r="EX132">
        <v>0</v>
      </c>
      <c r="EY132">
        <v>0</v>
      </c>
      <c r="FQ132">
        <v>0</v>
      </c>
      <c r="FR132">
        <f t="shared" si="112"/>
        <v>0</v>
      </c>
      <c r="FS132">
        <v>0</v>
      </c>
      <c r="FX132">
        <v>70</v>
      </c>
      <c r="FY132">
        <v>10</v>
      </c>
      <c r="GA132" t="s">
        <v>3</v>
      </c>
      <c r="GD132">
        <v>0</v>
      </c>
      <c r="GF132">
        <v>1840343037</v>
      </c>
      <c r="GG132">
        <v>2</v>
      </c>
      <c r="GH132">
        <v>1</v>
      </c>
      <c r="GI132">
        <v>-2</v>
      </c>
      <c r="GJ132">
        <v>0</v>
      </c>
      <c r="GK132">
        <f>ROUND(R132*(R12)/100,2)</f>
        <v>2.27</v>
      </c>
      <c r="GL132">
        <f t="shared" si="113"/>
        <v>0</v>
      </c>
      <c r="GM132">
        <f t="shared" si="114"/>
        <v>93497.63</v>
      </c>
      <c r="GN132">
        <f t="shared" si="115"/>
        <v>0</v>
      </c>
      <c r="GO132">
        <f t="shared" si="116"/>
        <v>0</v>
      </c>
      <c r="GP132">
        <f t="shared" si="117"/>
        <v>93497.63</v>
      </c>
      <c r="GR132">
        <v>0</v>
      </c>
      <c r="GS132">
        <v>3</v>
      </c>
      <c r="GT132">
        <v>0</v>
      </c>
      <c r="GU132" t="s">
        <v>3</v>
      </c>
      <c r="GV132">
        <f t="shared" si="118"/>
        <v>0</v>
      </c>
      <c r="GW132">
        <v>1</v>
      </c>
      <c r="GX132">
        <f t="shared" si="119"/>
        <v>0</v>
      </c>
      <c r="HA132">
        <v>0</v>
      </c>
      <c r="HB132">
        <v>0</v>
      </c>
      <c r="HC132">
        <f t="shared" si="120"/>
        <v>0</v>
      </c>
      <c r="HE132" t="s">
        <v>3</v>
      </c>
      <c r="HF132" t="s">
        <v>3</v>
      </c>
      <c r="HM132" t="s">
        <v>3</v>
      </c>
      <c r="HN132" t="s">
        <v>3</v>
      </c>
      <c r="HO132" t="s">
        <v>3</v>
      </c>
      <c r="HP132" t="s">
        <v>3</v>
      </c>
      <c r="HQ132" t="s">
        <v>3</v>
      </c>
      <c r="IK132">
        <v>0</v>
      </c>
    </row>
    <row r="133" spans="1:245" x14ac:dyDescent="0.2">
      <c r="A133">
        <v>17</v>
      </c>
      <c r="B133">
        <v>1</v>
      </c>
      <c r="D133">
        <f>ROW(EtalonRes!A68)</f>
        <v>68</v>
      </c>
      <c r="E133" t="s">
        <v>3</v>
      </c>
      <c r="F133" t="s">
        <v>190</v>
      </c>
      <c r="G133" t="s">
        <v>191</v>
      </c>
      <c r="H133" t="s">
        <v>178</v>
      </c>
      <c r="I133">
        <v>14</v>
      </c>
      <c r="J133">
        <v>0</v>
      </c>
      <c r="K133">
        <v>14</v>
      </c>
      <c r="O133">
        <f t="shared" si="88"/>
        <v>16098.46</v>
      </c>
      <c r="P133">
        <f t="shared" si="89"/>
        <v>62.02</v>
      </c>
      <c r="Q133">
        <f t="shared" si="90"/>
        <v>57.54</v>
      </c>
      <c r="R133">
        <f t="shared" si="91"/>
        <v>0.84</v>
      </c>
      <c r="S133">
        <f t="shared" si="92"/>
        <v>15978.9</v>
      </c>
      <c r="T133">
        <f t="shared" si="93"/>
        <v>0</v>
      </c>
      <c r="U133">
        <f t="shared" si="94"/>
        <v>24.08</v>
      </c>
      <c r="V133">
        <f t="shared" si="95"/>
        <v>0</v>
      </c>
      <c r="W133">
        <f t="shared" si="96"/>
        <v>0</v>
      </c>
      <c r="X133">
        <f t="shared" si="97"/>
        <v>11185.23</v>
      </c>
      <c r="Y133">
        <f t="shared" si="98"/>
        <v>1597.89</v>
      </c>
      <c r="AA133">
        <v>-1</v>
      </c>
      <c r="AB133">
        <f t="shared" si="99"/>
        <v>1149.8900000000001</v>
      </c>
      <c r="AC133">
        <f>ROUND((ES133),6)</f>
        <v>4.43</v>
      </c>
      <c r="AD133">
        <f>ROUND((((ET133)-(EU133))+AE133),6)</f>
        <v>4.1100000000000003</v>
      </c>
      <c r="AE133">
        <f>ROUND((EU133),6)</f>
        <v>0.06</v>
      </c>
      <c r="AF133">
        <f>ROUND((EV133),6)</f>
        <v>1141.3499999999999</v>
      </c>
      <c r="AG133">
        <f t="shared" si="100"/>
        <v>0</v>
      </c>
      <c r="AH133">
        <f>(EW133)</f>
        <v>1.72</v>
      </c>
      <c r="AI133">
        <f>(EX133)</f>
        <v>0</v>
      </c>
      <c r="AJ133">
        <f t="shared" si="101"/>
        <v>0</v>
      </c>
      <c r="AK133">
        <v>1149.8900000000001</v>
      </c>
      <c r="AL133">
        <v>4.43</v>
      </c>
      <c r="AM133">
        <v>4.1100000000000003</v>
      </c>
      <c r="AN133">
        <v>0.06</v>
      </c>
      <c r="AO133">
        <v>1141.3499999999999</v>
      </c>
      <c r="AP133">
        <v>0</v>
      </c>
      <c r="AQ133">
        <v>1.72</v>
      </c>
      <c r="AR133">
        <v>0</v>
      </c>
      <c r="AS133">
        <v>0</v>
      </c>
      <c r="AT133">
        <v>70</v>
      </c>
      <c r="AU133">
        <v>10</v>
      </c>
      <c r="AV133">
        <v>1</v>
      </c>
      <c r="AW133">
        <v>1</v>
      </c>
      <c r="AZ133">
        <v>1</v>
      </c>
      <c r="BA133">
        <v>1</v>
      </c>
      <c r="BB133">
        <v>1</v>
      </c>
      <c r="BC133">
        <v>1</v>
      </c>
      <c r="BD133" t="s">
        <v>3</v>
      </c>
      <c r="BE133" t="s">
        <v>3</v>
      </c>
      <c r="BF133" t="s">
        <v>3</v>
      </c>
      <c r="BG133" t="s">
        <v>3</v>
      </c>
      <c r="BH133">
        <v>0</v>
      </c>
      <c r="BI133">
        <v>4</v>
      </c>
      <c r="BJ133" t="s">
        <v>192</v>
      </c>
      <c r="BM133">
        <v>0</v>
      </c>
      <c r="BN133">
        <v>0</v>
      </c>
      <c r="BO133" t="s">
        <v>3</v>
      </c>
      <c r="BP133">
        <v>0</v>
      </c>
      <c r="BQ133">
        <v>1</v>
      </c>
      <c r="BR133">
        <v>0</v>
      </c>
      <c r="BS133">
        <v>1</v>
      </c>
      <c r="BT133">
        <v>1</v>
      </c>
      <c r="BU133">
        <v>1</v>
      </c>
      <c r="BV133">
        <v>1</v>
      </c>
      <c r="BW133">
        <v>1</v>
      </c>
      <c r="BX133">
        <v>1</v>
      </c>
      <c r="BY133" t="s">
        <v>3</v>
      </c>
      <c r="BZ133">
        <v>70</v>
      </c>
      <c r="CA133">
        <v>10</v>
      </c>
      <c r="CB133" t="s">
        <v>3</v>
      </c>
      <c r="CE133">
        <v>0</v>
      </c>
      <c r="CF133">
        <v>0</v>
      </c>
      <c r="CG133">
        <v>0</v>
      </c>
      <c r="CM133">
        <v>0</v>
      </c>
      <c r="CN133" t="s">
        <v>3</v>
      </c>
      <c r="CO133">
        <v>0</v>
      </c>
      <c r="CP133">
        <f t="shared" si="102"/>
        <v>16098.46</v>
      </c>
      <c r="CQ133">
        <f t="shared" si="103"/>
        <v>4.43</v>
      </c>
      <c r="CR133">
        <f>((((ET133)*BB133-(EU133)*BS133)+AE133*BS133)*AV133)</f>
        <v>4.1100000000000003</v>
      </c>
      <c r="CS133">
        <f t="shared" si="104"/>
        <v>0.06</v>
      </c>
      <c r="CT133">
        <f t="shared" si="105"/>
        <v>1141.3499999999999</v>
      </c>
      <c r="CU133">
        <f t="shared" si="106"/>
        <v>0</v>
      </c>
      <c r="CV133">
        <f t="shared" si="107"/>
        <v>1.72</v>
      </c>
      <c r="CW133">
        <f t="shared" si="108"/>
        <v>0</v>
      </c>
      <c r="CX133">
        <f t="shared" si="109"/>
        <v>0</v>
      </c>
      <c r="CY133">
        <f t="shared" si="110"/>
        <v>11185.23</v>
      </c>
      <c r="CZ133">
        <f t="shared" si="111"/>
        <v>1597.89</v>
      </c>
      <c r="DC133" t="s">
        <v>3</v>
      </c>
      <c r="DD133" t="s">
        <v>3</v>
      </c>
      <c r="DE133" t="s">
        <v>3</v>
      </c>
      <c r="DF133" t="s">
        <v>3</v>
      </c>
      <c r="DG133" t="s">
        <v>3</v>
      </c>
      <c r="DH133" t="s">
        <v>3</v>
      </c>
      <c r="DI133" t="s">
        <v>3</v>
      </c>
      <c r="DJ133" t="s">
        <v>3</v>
      </c>
      <c r="DK133" t="s">
        <v>3</v>
      </c>
      <c r="DL133" t="s">
        <v>3</v>
      </c>
      <c r="DM133" t="s">
        <v>3</v>
      </c>
      <c r="DN133">
        <v>0</v>
      </c>
      <c r="DO133">
        <v>0</v>
      </c>
      <c r="DP133">
        <v>1</v>
      </c>
      <c r="DQ133">
        <v>1</v>
      </c>
      <c r="DU133">
        <v>1013</v>
      </c>
      <c r="DV133" t="s">
        <v>178</v>
      </c>
      <c r="DW133" t="s">
        <v>178</v>
      </c>
      <c r="DX133">
        <v>1</v>
      </c>
      <c r="DZ133" t="s">
        <v>3</v>
      </c>
      <c r="EA133" t="s">
        <v>3</v>
      </c>
      <c r="EB133" t="s">
        <v>3</v>
      </c>
      <c r="EC133" t="s">
        <v>3</v>
      </c>
      <c r="EE133">
        <v>1441815344</v>
      </c>
      <c r="EF133">
        <v>1</v>
      </c>
      <c r="EG133" t="s">
        <v>21</v>
      </c>
      <c r="EH133">
        <v>0</v>
      </c>
      <c r="EI133" t="s">
        <v>3</v>
      </c>
      <c r="EJ133">
        <v>4</v>
      </c>
      <c r="EK133">
        <v>0</v>
      </c>
      <c r="EL133" t="s">
        <v>22</v>
      </c>
      <c r="EM133" t="s">
        <v>23</v>
      </c>
      <c r="EO133" t="s">
        <v>3</v>
      </c>
      <c r="EQ133">
        <v>1024</v>
      </c>
      <c r="ER133">
        <v>1149.8900000000001</v>
      </c>
      <c r="ES133">
        <v>4.43</v>
      </c>
      <c r="ET133">
        <v>4.1100000000000003</v>
      </c>
      <c r="EU133">
        <v>0.06</v>
      </c>
      <c r="EV133">
        <v>1141.3499999999999</v>
      </c>
      <c r="EW133">
        <v>1.72</v>
      </c>
      <c r="EX133">
        <v>0</v>
      </c>
      <c r="EY133">
        <v>0</v>
      </c>
      <c r="FQ133">
        <v>0</v>
      </c>
      <c r="FR133">
        <f t="shared" si="112"/>
        <v>0</v>
      </c>
      <c r="FS133">
        <v>0</v>
      </c>
      <c r="FX133">
        <v>70</v>
      </c>
      <c r="FY133">
        <v>10</v>
      </c>
      <c r="GA133" t="s">
        <v>3</v>
      </c>
      <c r="GD133">
        <v>0</v>
      </c>
      <c r="GF133">
        <v>-1515457467</v>
      </c>
      <c r="GG133">
        <v>2</v>
      </c>
      <c r="GH133">
        <v>1</v>
      </c>
      <c r="GI133">
        <v>-2</v>
      </c>
      <c r="GJ133">
        <v>0</v>
      </c>
      <c r="GK133">
        <f>ROUND(R133*(R12)/100,2)</f>
        <v>0.91</v>
      </c>
      <c r="GL133">
        <f t="shared" si="113"/>
        <v>0</v>
      </c>
      <c r="GM133">
        <f t="shared" si="114"/>
        <v>28882.49</v>
      </c>
      <c r="GN133">
        <f t="shared" si="115"/>
        <v>0</v>
      </c>
      <c r="GO133">
        <f t="shared" si="116"/>
        <v>0</v>
      </c>
      <c r="GP133">
        <f t="shared" si="117"/>
        <v>28882.49</v>
      </c>
      <c r="GR133">
        <v>0</v>
      </c>
      <c r="GS133">
        <v>3</v>
      </c>
      <c r="GT133">
        <v>0</v>
      </c>
      <c r="GU133" t="s">
        <v>3</v>
      </c>
      <c r="GV133">
        <f t="shared" si="118"/>
        <v>0</v>
      </c>
      <c r="GW133">
        <v>1</v>
      </c>
      <c r="GX133">
        <f t="shared" si="119"/>
        <v>0</v>
      </c>
      <c r="HA133">
        <v>0</v>
      </c>
      <c r="HB133">
        <v>0</v>
      </c>
      <c r="HC133">
        <f t="shared" si="120"/>
        <v>0</v>
      </c>
      <c r="HE133" t="s">
        <v>3</v>
      </c>
      <c r="HF133" t="s">
        <v>3</v>
      </c>
      <c r="HM133" t="s">
        <v>3</v>
      </c>
      <c r="HN133" t="s">
        <v>3</v>
      </c>
      <c r="HO133" t="s">
        <v>3</v>
      </c>
      <c r="HP133" t="s">
        <v>3</v>
      </c>
      <c r="HQ133" t="s">
        <v>3</v>
      </c>
      <c r="IK133">
        <v>0</v>
      </c>
    </row>
    <row r="134" spans="1:245" x14ac:dyDescent="0.2">
      <c r="A134">
        <v>17</v>
      </c>
      <c r="B134">
        <v>1</v>
      </c>
      <c r="D134">
        <f>ROW(EtalonRes!A70)</f>
        <v>70</v>
      </c>
      <c r="E134" t="s">
        <v>3</v>
      </c>
      <c r="F134" t="s">
        <v>193</v>
      </c>
      <c r="G134" t="s">
        <v>194</v>
      </c>
      <c r="H134" t="s">
        <v>178</v>
      </c>
      <c r="I134">
        <v>14</v>
      </c>
      <c r="J134">
        <v>0</v>
      </c>
      <c r="K134">
        <v>14</v>
      </c>
      <c r="O134">
        <f t="shared" si="88"/>
        <v>28467.18</v>
      </c>
      <c r="P134">
        <f t="shared" si="89"/>
        <v>39.479999999999997</v>
      </c>
      <c r="Q134">
        <f t="shared" si="90"/>
        <v>0</v>
      </c>
      <c r="R134">
        <f t="shared" si="91"/>
        <v>0</v>
      </c>
      <c r="S134">
        <f t="shared" si="92"/>
        <v>28427.7</v>
      </c>
      <c r="T134">
        <f t="shared" si="93"/>
        <v>0</v>
      </c>
      <c r="U134">
        <f t="shared" si="94"/>
        <v>42.84</v>
      </c>
      <c r="V134">
        <f t="shared" si="95"/>
        <v>0</v>
      </c>
      <c r="W134">
        <f t="shared" si="96"/>
        <v>0</v>
      </c>
      <c r="X134">
        <f t="shared" si="97"/>
        <v>19899.39</v>
      </c>
      <c r="Y134">
        <f t="shared" si="98"/>
        <v>2842.77</v>
      </c>
      <c r="AA134">
        <v>-1</v>
      </c>
      <c r="AB134">
        <f t="shared" si="99"/>
        <v>2033.37</v>
      </c>
      <c r="AC134">
        <f>ROUND(((ES134*3)),6)</f>
        <v>2.82</v>
      </c>
      <c r="AD134">
        <f>ROUND(((((ET134*3))-((EU134*3)))+AE134),6)</f>
        <v>0</v>
      </c>
      <c r="AE134">
        <f>ROUND(((EU134*3)),6)</f>
        <v>0</v>
      </c>
      <c r="AF134">
        <f>ROUND(((EV134*3)),6)</f>
        <v>2030.55</v>
      </c>
      <c r="AG134">
        <f t="shared" si="100"/>
        <v>0</v>
      </c>
      <c r="AH134">
        <f>((EW134*3))</f>
        <v>3.06</v>
      </c>
      <c r="AI134">
        <f>((EX134*3))</f>
        <v>0</v>
      </c>
      <c r="AJ134">
        <f t="shared" si="101"/>
        <v>0</v>
      </c>
      <c r="AK134">
        <v>677.79</v>
      </c>
      <c r="AL134">
        <v>0.94</v>
      </c>
      <c r="AM134">
        <v>0</v>
      </c>
      <c r="AN134">
        <v>0</v>
      </c>
      <c r="AO134">
        <v>676.85</v>
      </c>
      <c r="AP134">
        <v>0</v>
      </c>
      <c r="AQ134">
        <v>1.02</v>
      </c>
      <c r="AR134">
        <v>0</v>
      </c>
      <c r="AS134">
        <v>0</v>
      </c>
      <c r="AT134">
        <v>70</v>
      </c>
      <c r="AU134">
        <v>10</v>
      </c>
      <c r="AV134">
        <v>1</v>
      </c>
      <c r="AW134">
        <v>1</v>
      </c>
      <c r="AZ134">
        <v>1</v>
      </c>
      <c r="BA134">
        <v>1</v>
      </c>
      <c r="BB134">
        <v>1</v>
      </c>
      <c r="BC134">
        <v>1</v>
      </c>
      <c r="BD134" t="s">
        <v>3</v>
      </c>
      <c r="BE134" t="s">
        <v>3</v>
      </c>
      <c r="BF134" t="s">
        <v>3</v>
      </c>
      <c r="BG134" t="s">
        <v>3</v>
      </c>
      <c r="BH134">
        <v>0</v>
      </c>
      <c r="BI134">
        <v>4</v>
      </c>
      <c r="BJ134" t="s">
        <v>195</v>
      </c>
      <c r="BM134">
        <v>0</v>
      </c>
      <c r="BN134">
        <v>0</v>
      </c>
      <c r="BO134" t="s">
        <v>3</v>
      </c>
      <c r="BP134">
        <v>0</v>
      </c>
      <c r="BQ134">
        <v>1</v>
      </c>
      <c r="BR134">
        <v>0</v>
      </c>
      <c r="BS134">
        <v>1</v>
      </c>
      <c r="BT134">
        <v>1</v>
      </c>
      <c r="BU134">
        <v>1</v>
      </c>
      <c r="BV134">
        <v>1</v>
      </c>
      <c r="BW134">
        <v>1</v>
      </c>
      <c r="BX134">
        <v>1</v>
      </c>
      <c r="BY134" t="s">
        <v>3</v>
      </c>
      <c r="BZ134">
        <v>70</v>
      </c>
      <c r="CA134">
        <v>10</v>
      </c>
      <c r="CB134" t="s">
        <v>3</v>
      </c>
      <c r="CE134">
        <v>0</v>
      </c>
      <c r="CF134">
        <v>0</v>
      </c>
      <c r="CG134">
        <v>0</v>
      </c>
      <c r="CM134">
        <v>0</v>
      </c>
      <c r="CN134" t="s">
        <v>3</v>
      </c>
      <c r="CO134">
        <v>0</v>
      </c>
      <c r="CP134">
        <f t="shared" si="102"/>
        <v>28467.18</v>
      </c>
      <c r="CQ134">
        <f t="shared" si="103"/>
        <v>2.82</v>
      </c>
      <c r="CR134">
        <f>(((((ET134*3))*BB134-((EU134*3))*BS134)+AE134*BS134)*AV134)</f>
        <v>0</v>
      </c>
      <c r="CS134">
        <f t="shared" si="104"/>
        <v>0</v>
      </c>
      <c r="CT134">
        <f t="shared" si="105"/>
        <v>2030.55</v>
      </c>
      <c r="CU134">
        <f t="shared" si="106"/>
        <v>0</v>
      </c>
      <c r="CV134">
        <f t="shared" si="107"/>
        <v>3.06</v>
      </c>
      <c r="CW134">
        <f t="shared" si="108"/>
        <v>0</v>
      </c>
      <c r="CX134">
        <f t="shared" si="109"/>
        <v>0</v>
      </c>
      <c r="CY134">
        <f t="shared" si="110"/>
        <v>19899.39</v>
      </c>
      <c r="CZ134">
        <f t="shared" si="111"/>
        <v>2842.77</v>
      </c>
      <c r="DC134" t="s">
        <v>3</v>
      </c>
      <c r="DD134" t="s">
        <v>163</v>
      </c>
      <c r="DE134" t="s">
        <v>163</v>
      </c>
      <c r="DF134" t="s">
        <v>163</v>
      </c>
      <c r="DG134" t="s">
        <v>163</v>
      </c>
      <c r="DH134" t="s">
        <v>3</v>
      </c>
      <c r="DI134" t="s">
        <v>163</v>
      </c>
      <c r="DJ134" t="s">
        <v>163</v>
      </c>
      <c r="DK134" t="s">
        <v>3</v>
      </c>
      <c r="DL134" t="s">
        <v>3</v>
      </c>
      <c r="DM134" t="s">
        <v>3</v>
      </c>
      <c r="DN134">
        <v>0</v>
      </c>
      <c r="DO134">
        <v>0</v>
      </c>
      <c r="DP134">
        <v>1</v>
      </c>
      <c r="DQ134">
        <v>1</v>
      </c>
      <c r="DU134">
        <v>1013</v>
      </c>
      <c r="DV134" t="s">
        <v>178</v>
      </c>
      <c r="DW134" t="s">
        <v>178</v>
      </c>
      <c r="DX134">
        <v>1</v>
      </c>
      <c r="DZ134" t="s">
        <v>3</v>
      </c>
      <c r="EA134" t="s">
        <v>3</v>
      </c>
      <c r="EB134" t="s">
        <v>3</v>
      </c>
      <c r="EC134" t="s">
        <v>3</v>
      </c>
      <c r="EE134">
        <v>1441815344</v>
      </c>
      <c r="EF134">
        <v>1</v>
      </c>
      <c r="EG134" t="s">
        <v>21</v>
      </c>
      <c r="EH134">
        <v>0</v>
      </c>
      <c r="EI134" t="s">
        <v>3</v>
      </c>
      <c r="EJ134">
        <v>4</v>
      </c>
      <c r="EK134">
        <v>0</v>
      </c>
      <c r="EL134" t="s">
        <v>22</v>
      </c>
      <c r="EM134" t="s">
        <v>23</v>
      </c>
      <c r="EO134" t="s">
        <v>3</v>
      </c>
      <c r="EQ134">
        <v>1024</v>
      </c>
      <c r="ER134">
        <v>677.79</v>
      </c>
      <c r="ES134">
        <v>0.94</v>
      </c>
      <c r="ET134">
        <v>0</v>
      </c>
      <c r="EU134">
        <v>0</v>
      </c>
      <c r="EV134">
        <v>676.85</v>
      </c>
      <c r="EW134">
        <v>1.02</v>
      </c>
      <c r="EX134">
        <v>0</v>
      </c>
      <c r="EY134">
        <v>0</v>
      </c>
      <c r="FQ134">
        <v>0</v>
      </c>
      <c r="FR134">
        <f t="shared" si="112"/>
        <v>0</v>
      </c>
      <c r="FS134">
        <v>0</v>
      </c>
      <c r="FX134">
        <v>70</v>
      </c>
      <c r="FY134">
        <v>10</v>
      </c>
      <c r="GA134" t="s">
        <v>3</v>
      </c>
      <c r="GD134">
        <v>0</v>
      </c>
      <c r="GF134">
        <v>-963632619</v>
      </c>
      <c r="GG134">
        <v>2</v>
      </c>
      <c r="GH134">
        <v>1</v>
      </c>
      <c r="GI134">
        <v>-2</v>
      </c>
      <c r="GJ134">
        <v>0</v>
      </c>
      <c r="GK134">
        <f>ROUND(R134*(R12)/100,2)</f>
        <v>0</v>
      </c>
      <c r="GL134">
        <f t="shared" si="113"/>
        <v>0</v>
      </c>
      <c r="GM134">
        <f t="shared" si="114"/>
        <v>51209.34</v>
      </c>
      <c r="GN134">
        <f t="shared" si="115"/>
        <v>0</v>
      </c>
      <c r="GO134">
        <f t="shared" si="116"/>
        <v>0</v>
      </c>
      <c r="GP134">
        <f t="shared" si="117"/>
        <v>51209.34</v>
      </c>
      <c r="GR134">
        <v>0</v>
      </c>
      <c r="GS134">
        <v>3</v>
      </c>
      <c r="GT134">
        <v>0</v>
      </c>
      <c r="GU134" t="s">
        <v>3</v>
      </c>
      <c r="GV134">
        <f t="shared" si="118"/>
        <v>0</v>
      </c>
      <c r="GW134">
        <v>1</v>
      </c>
      <c r="GX134">
        <f t="shared" si="119"/>
        <v>0</v>
      </c>
      <c r="HA134">
        <v>0</v>
      </c>
      <c r="HB134">
        <v>0</v>
      </c>
      <c r="HC134">
        <f t="shared" si="120"/>
        <v>0</v>
      </c>
      <c r="HE134" t="s">
        <v>3</v>
      </c>
      <c r="HF134" t="s">
        <v>3</v>
      </c>
      <c r="HM134" t="s">
        <v>3</v>
      </c>
      <c r="HN134" t="s">
        <v>3</v>
      </c>
      <c r="HO134" t="s">
        <v>3</v>
      </c>
      <c r="HP134" t="s">
        <v>3</v>
      </c>
      <c r="HQ134" t="s">
        <v>3</v>
      </c>
      <c r="IK134">
        <v>0</v>
      </c>
    </row>
    <row r="136" spans="1:245" x14ac:dyDescent="0.2">
      <c r="A136" s="2">
        <v>51</v>
      </c>
      <c r="B136" s="2">
        <f>B122</f>
        <v>1</v>
      </c>
      <c r="C136" s="2">
        <f>A122</f>
        <v>5</v>
      </c>
      <c r="D136" s="2">
        <f>ROW(A122)</f>
        <v>122</v>
      </c>
      <c r="E136" s="2"/>
      <c r="F136" s="2" t="str">
        <f>IF(F122&lt;&gt;"",F122,"")</f>
        <v>Новый подраздел</v>
      </c>
      <c r="G136" s="2" t="str">
        <f>IF(G122&lt;&gt;"",G122,"")</f>
        <v>Вентиляция и кондиционирование</v>
      </c>
      <c r="H136" s="2">
        <v>0</v>
      </c>
      <c r="I136" s="2"/>
      <c r="J136" s="2"/>
      <c r="K136" s="2"/>
      <c r="L136" s="2"/>
      <c r="M136" s="2"/>
      <c r="N136" s="2"/>
      <c r="O136" s="2">
        <f t="shared" ref="O136:T136" si="121">ROUND(AB136,2)</f>
        <v>66303.58</v>
      </c>
      <c r="P136" s="2">
        <f t="shared" si="121"/>
        <v>23.52</v>
      </c>
      <c r="Q136" s="2">
        <f t="shared" si="121"/>
        <v>73.92</v>
      </c>
      <c r="R136" s="2">
        <f t="shared" si="121"/>
        <v>0.98</v>
      </c>
      <c r="S136" s="2">
        <f t="shared" si="121"/>
        <v>66206.14</v>
      </c>
      <c r="T136" s="2">
        <f t="shared" si="121"/>
        <v>0</v>
      </c>
      <c r="U136" s="2">
        <f>AH136</f>
        <v>103.88</v>
      </c>
      <c r="V136" s="2">
        <f>AI136</f>
        <v>0</v>
      </c>
      <c r="W136" s="2">
        <f>ROUND(AJ136,2)</f>
        <v>0</v>
      </c>
      <c r="X136" s="2">
        <f>ROUND(AK136,2)</f>
        <v>46344.3</v>
      </c>
      <c r="Y136" s="2">
        <f>ROUND(AL136,2)</f>
        <v>6620.61</v>
      </c>
      <c r="Z136" s="2"/>
      <c r="AA136" s="2"/>
      <c r="AB136" s="2">
        <f>ROUND(SUMIF(AA126:AA134,"=1471718271",O126:O134),2)</f>
        <v>66303.58</v>
      </c>
      <c r="AC136" s="2">
        <f>ROUND(SUMIF(AA126:AA134,"=1471718271",P126:P134),2)</f>
        <v>23.52</v>
      </c>
      <c r="AD136" s="2">
        <f>ROUND(SUMIF(AA126:AA134,"=1471718271",Q126:Q134),2)</f>
        <v>73.92</v>
      </c>
      <c r="AE136" s="2">
        <f>ROUND(SUMIF(AA126:AA134,"=1471718271",R126:R134),2)</f>
        <v>0.98</v>
      </c>
      <c r="AF136" s="2">
        <f>ROUND(SUMIF(AA126:AA134,"=1471718271",S126:S134),2)</f>
        <v>66206.14</v>
      </c>
      <c r="AG136" s="2">
        <f>ROUND(SUMIF(AA126:AA134,"=1471718271",T126:T134),2)</f>
        <v>0</v>
      </c>
      <c r="AH136" s="2">
        <f>SUMIF(AA126:AA134,"=1471718271",U126:U134)</f>
        <v>103.88</v>
      </c>
      <c r="AI136" s="2">
        <f>SUMIF(AA126:AA134,"=1471718271",V126:V134)</f>
        <v>0</v>
      </c>
      <c r="AJ136" s="2">
        <f>ROUND(SUMIF(AA126:AA134,"=1471718271",W126:W134),2)</f>
        <v>0</v>
      </c>
      <c r="AK136" s="2">
        <f>ROUND(SUMIF(AA126:AA134,"=1471718271",X126:X134),2)</f>
        <v>46344.3</v>
      </c>
      <c r="AL136" s="2">
        <f>ROUND(SUMIF(AA126:AA134,"=1471718271",Y126:Y134),2)</f>
        <v>6620.61</v>
      </c>
      <c r="AM136" s="2"/>
      <c r="AN136" s="2"/>
      <c r="AO136" s="2">
        <f t="shared" ref="AO136:BD136" si="122">ROUND(BX136,2)</f>
        <v>0</v>
      </c>
      <c r="AP136" s="2">
        <f t="shared" si="122"/>
        <v>0</v>
      </c>
      <c r="AQ136" s="2">
        <f t="shared" si="122"/>
        <v>0</v>
      </c>
      <c r="AR136" s="2">
        <f t="shared" si="122"/>
        <v>119269.55</v>
      </c>
      <c r="AS136" s="2">
        <f t="shared" si="122"/>
        <v>0</v>
      </c>
      <c r="AT136" s="2">
        <f t="shared" si="122"/>
        <v>0</v>
      </c>
      <c r="AU136" s="2">
        <f t="shared" si="122"/>
        <v>119269.55</v>
      </c>
      <c r="AV136" s="2">
        <f t="shared" si="122"/>
        <v>23.52</v>
      </c>
      <c r="AW136" s="2">
        <f t="shared" si="122"/>
        <v>23.52</v>
      </c>
      <c r="AX136" s="2">
        <f t="shared" si="122"/>
        <v>0</v>
      </c>
      <c r="AY136" s="2">
        <f t="shared" si="122"/>
        <v>23.52</v>
      </c>
      <c r="AZ136" s="2">
        <f t="shared" si="122"/>
        <v>0</v>
      </c>
      <c r="BA136" s="2">
        <f t="shared" si="122"/>
        <v>0</v>
      </c>
      <c r="BB136" s="2">
        <f t="shared" si="122"/>
        <v>0</v>
      </c>
      <c r="BC136" s="2">
        <f t="shared" si="122"/>
        <v>0</v>
      </c>
      <c r="BD136" s="2">
        <f t="shared" si="122"/>
        <v>0</v>
      </c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  <c r="BP136" s="2"/>
      <c r="BQ136" s="2"/>
      <c r="BR136" s="2"/>
      <c r="BS136" s="2"/>
      <c r="BT136" s="2"/>
      <c r="BU136" s="2"/>
      <c r="BV136" s="2"/>
      <c r="BW136" s="2"/>
      <c r="BX136" s="2">
        <f>ROUND(SUMIF(AA126:AA134,"=1471718271",FQ126:FQ134),2)</f>
        <v>0</v>
      </c>
      <c r="BY136" s="2">
        <f>ROUND(SUMIF(AA126:AA134,"=1471718271",FR126:FR134),2)</f>
        <v>0</v>
      </c>
      <c r="BZ136" s="2">
        <f>ROUND(SUMIF(AA126:AA134,"=1471718271",GL126:GL134),2)</f>
        <v>0</v>
      </c>
      <c r="CA136" s="2">
        <f>ROUND(SUMIF(AA126:AA134,"=1471718271",GM126:GM134),2)</f>
        <v>119269.55</v>
      </c>
      <c r="CB136" s="2">
        <f>ROUND(SUMIF(AA126:AA134,"=1471718271",GN126:GN134),2)</f>
        <v>0</v>
      </c>
      <c r="CC136" s="2">
        <f>ROUND(SUMIF(AA126:AA134,"=1471718271",GO126:GO134),2)</f>
        <v>0</v>
      </c>
      <c r="CD136" s="2">
        <f>ROUND(SUMIF(AA126:AA134,"=1471718271",GP126:GP134),2)</f>
        <v>119269.55</v>
      </c>
      <c r="CE136" s="2">
        <f>AC136-BX136</f>
        <v>23.52</v>
      </c>
      <c r="CF136" s="2">
        <f>AC136-BY136</f>
        <v>23.52</v>
      </c>
      <c r="CG136" s="2">
        <f>BX136-BZ136</f>
        <v>0</v>
      </c>
      <c r="CH136" s="2">
        <f>AC136-BX136-BY136+BZ136</f>
        <v>23.52</v>
      </c>
      <c r="CI136" s="2">
        <f>BY136-BZ136</f>
        <v>0</v>
      </c>
      <c r="CJ136" s="2">
        <f>ROUND(SUMIF(AA126:AA134,"=1471718271",GX126:GX134),2)</f>
        <v>0</v>
      </c>
      <c r="CK136" s="2">
        <f>ROUND(SUMIF(AA126:AA134,"=1471718271",GY126:GY134),2)</f>
        <v>0</v>
      </c>
      <c r="CL136" s="2">
        <f>ROUND(SUMIF(AA126:AA134,"=1471718271",GZ126:GZ134),2)</f>
        <v>0</v>
      </c>
      <c r="CM136" s="2">
        <f>ROUND(SUMIF(AA126:AA134,"=1471718271",HD126:HD134),2)</f>
        <v>0</v>
      </c>
      <c r="CN136" s="2"/>
      <c r="CO136" s="2"/>
      <c r="CP136" s="2"/>
      <c r="CQ136" s="2"/>
      <c r="CR136" s="2"/>
      <c r="CS136" s="2"/>
      <c r="CT136" s="2"/>
      <c r="CU136" s="2"/>
      <c r="CV136" s="2"/>
      <c r="CW136" s="2"/>
      <c r="CX136" s="2"/>
      <c r="CY136" s="2"/>
      <c r="CZ136" s="2"/>
      <c r="DA136" s="2"/>
      <c r="DB136" s="2"/>
      <c r="DC136" s="2"/>
      <c r="DD136" s="2"/>
      <c r="DE136" s="2"/>
      <c r="DF136" s="2"/>
      <c r="DG136" s="3"/>
      <c r="DH136" s="3"/>
      <c r="DI136" s="3"/>
      <c r="DJ136" s="3"/>
      <c r="DK136" s="3"/>
      <c r="DL136" s="3"/>
      <c r="DM136" s="3"/>
      <c r="DN136" s="3"/>
      <c r="DO136" s="3"/>
      <c r="DP136" s="3"/>
      <c r="DQ136" s="3"/>
      <c r="DR136" s="3"/>
      <c r="DS136" s="3"/>
      <c r="DT136" s="3"/>
      <c r="DU136" s="3"/>
      <c r="DV136" s="3"/>
      <c r="DW136" s="3"/>
      <c r="DX136" s="3"/>
      <c r="DY136" s="3"/>
      <c r="DZ136" s="3"/>
      <c r="EA136" s="3"/>
      <c r="EB136" s="3"/>
      <c r="EC136" s="3"/>
      <c r="ED136" s="3"/>
      <c r="EE136" s="3"/>
      <c r="EF136" s="3"/>
      <c r="EG136" s="3"/>
      <c r="EH136" s="3"/>
      <c r="EI136" s="3"/>
      <c r="EJ136" s="3"/>
      <c r="EK136" s="3"/>
      <c r="EL136" s="3"/>
      <c r="EM136" s="3"/>
      <c r="EN136" s="3"/>
      <c r="EO136" s="3"/>
      <c r="EP136" s="3"/>
      <c r="EQ136" s="3"/>
      <c r="ER136" s="3"/>
      <c r="ES136" s="3"/>
      <c r="ET136" s="3"/>
      <c r="EU136" s="3"/>
      <c r="EV136" s="3"/>
      <c r="EW136" s="3"/>
      <c r="EX136" s="3"/>
      <c r="EY136" s="3"/>
      <c r="EZ136" s="3"/>
      <c r="FA136" s="3"/>
      <c r="FB136" s="3"/>
      <c r="FC136" s="3"/>
      <c r="FD136" s="3"/>
      <c r="FE136" s="3"/>
      <c r="FF136" s="3"/>
      <c r="FG136" s="3"/>
      <c r="FH136" s="3"/>
      <c r="FI136" s="3"/>
      <c r="FJ136" s="3"/>
      <c r="FK136" s="3"/>
      <c r="FL136" s="3"/>
      <c r="FM136" s="3"/>
      <c r="FN136" s="3"/>
      <c r="FO136" s="3"/>
      <c r="FP136" s="3"/>
      <c r="FQ136" s="3"/>
      <c r="FR136" s="3"/>
      <c r="FS136" s="3"/>
      <c r="FT136" s="3"/>
      <c r="FU136" s="3"/>
      <c r="FV136" s="3"/>
      <c r="FW136" s="3"/>
      <c r="FX136" s="3"/>
      <c r="FY136" s="3"/>
      <c r="FZ136" s="3"/>
      <c r="GA136" s="3"/>
      <c r="GB136" s="3"/>
      <c r="GC136" s="3"/>
      <c r="GD136" s="3"/>
      <c r="GE136" s="3"/>
      <c r="GF136" s="3"/>
      <c r="GG136" s="3"/>
      <c r="GH136" s="3"/>
      <c r="GI136" s="3"/>
      <c r="GJ136" s="3"/>
      <c r="GK136" s="3"/>
      <c r="GL136" s="3"/>
      <c r="GM136" s="3"/>
      <c r="GN136" s="3"/>
      <c r="GO136" s="3"/>
      <c r="GP136" s="3"/>
      <c r="GQ136" s="3"/>
      <c r="GR136" s="3"/>
      <c r="GS136" s="3"/>
      <c r="GT136" s="3"/>
      <c r="GU136" s="3"/>
      <c r="GV136" s="3"/>
      <c r="GW136" s="3"/>
      <c r="GX136" s="3">
        <v>0</v>
      </c>
    </row>
    <row r="138" spans="1:245" x14ac:dyDescent="0.2">
      <c r="A138" s="4">
        <v>50</v>
      </c>
      <c r="B138" s="4">
        <v>0</v>
      </c>
      <c r="C138" s="4">
        <v>0</v>
      </c>
      <c r="D138" s="4">
        <v>1</v>
      </c>
      <c r="E138" s="4">
        <v>201</v>
      </c>
      <c r="F138" s="4">
        <f>ROUND(Source!O136,O138)</f>
        <v>66303.58</v>
      </c>
      <c r="G138" s="4" t="s">
        <v>98</v>
      </c>
      <c r="H138" s="4" t="s">
        <v>99</v>
      </c>
      <c r="I138" s="4"/>
      <c r="J138" s="4"/>
      <c r="K138" s="4">
        <v>201</v>
      </c>
      <c r="L138" s="4">
        <v>1</v>
      </c>
      <c r="M138" s="4">
        <v>3</v>
      </c>
      <c r="N138" s="4" t="s">
        <v>3</v>
      </c>
      <c r="O138" s="4">
        <v>2</v>
      </c>
      <c r="P138" s="4"/>
      <c r="Q138" s="4"/>
      <c r="R138" s="4"/>
      <c r="S138" s="4"/>
      <c r="T138" s="4"/>
      <c r="U138" s="4"/>
      <c r="V138" s="4"/>
      <c r="W138" s="4">
        <v>66303.58</v>
      </c>
      <c r="X138" s="4">
        <v>1</v>
      </c>
      <c r="Y138" s="4">
        <v>66303.58</v>
      </c>
      <c r="Z138" s="4"/>
      <c r="AA138" s="4"/>
      <c r="AB138" s="4"/>
    </row>
    <row r="139" spans="1:245" x14ac:dyDescent="0.2">
      <c r="A139" s="4">
        <v>50</v>
      </c>
      <c r="B139" s="4">
        <v>0</v>
      </c>
      <c r="C139" s="4">
        <v>0</v>
      </c>
      <c r="D139" s="4">
        <v>1</v>
      </c>
      <c r="E139" s="4">
        <v>202</v>
      </c>
      <c r="F139" s="4">
        <f>ROUND(Source!P136,O139)</f>
        <v>23.52</v>
      </c>
      <c r="G139" s="4" t="s">
        <v>100</v>
      </c>
      <c r="H139" s="4" t="s">
        <v>101</v>
      </c>
      <c r="I139" s="4"/>
      <c r="J139" s="4"/>
      <c r="K139" s="4">
        <v>202</v>
      </c>
      <c r="L139" s="4">
        <v>2</v>
      </c>
      <c r="M139" s="4">
        <v>3</v>
      </c>
      <c r="N139" s="4" t="s">
        <v>3</v>
      </c>
      <c r="O139" s="4">
        <v>2</v>
      </c>
      <c r="P139" s="4"/>
      <c r="Q139" s="4"/>
      <c r="R139" s="4"/>
      <c r="S139" s="4"/>
      <c r="T139" s="4"/>
      <c r="U139" s="4"/>
      <c r="V139" s="4"/>
      <c r="W139" s="4">
        <v>23.52</v>
      </c>
      <c r="X139" s="4">
        <v>1</v>
      </c>
      <c r="Y139" s="4">
        <v>23.52</v>
      </c>
      <c r="Z139" s="4"/>
      <c r="AA139" s="4"/>
      <c r="AB139" s="4"/>
    </row>
    <row r="140" spans="1:245" x14ac:dyDescent="0.2">
      <c r="A140" s="4">
        <v>50</v>
      </c>
      <c r="B140" s="4">
        <v>0</v>
      </c>
      <c r="C140" s="4">
        <v>0</v>
      </c>
      <c r="D140" s="4">
        <v>1</v>
      </c>
      <c r="E140" s="4">
        <v>222</v>
      </c>
      <c r="F140" s="4">
        <f>ROUND(Source!AO136,O140)</f>
        <v>0</v>
      </c>
      <c r="G140" s="4" t="s">
        <v>102</v>
      </c>
      <c r="H140" s="4" t="s">
        <v>103</v>
      </c>
      <c r="I140" s="4"/>
      <c r="J140" s="4"/>
      <c r="K140" s="4">
        <v>222</v>
      </c>
      <c r="L140" s="4">
        <v>3</v>
      </c>
      <c r="M140" s="4">
        <v>3</v>
      </c>
      <c r="N140" s="4" t="s">
        <v>3</v>
      </c>
      <c r="O140" s="4">
        <v>2</v>
      </c>
      <c r="P140" s="4"/>
      <c r="Q140" s="4"/>
      <c r="R140" s="4"/>
      <c r="S140" s="4"/>
      <c r="T140" s="4"/>
      <c r="U140" s="4"/>
      <c r="V140" s="4"/>
      <c r="W140" s="4">
        <v>0</v>
      </c>
      <c r="X140" s="4">
        <v>1</v>
      </c>
      <c r="Y140" s="4">
        <v>0</v>
      </c>
      <c r="Z140" s="4"/>
      <c r="AA140" s="4"/>
      <c r="AB140" s="4"/>
    </row>
    <row r="141" spans="1:245" x14ac:dyDescent="0.2">
      <c r="A141" s="4">
        <v>50</v>
      </c>
      <c r="B141" s="4">
        <v>0</v>
      </c>
      <c r="C141" s="4">
        <v>0</v>
      </c>
      <c r="D141" s="4">
        <v>1</v>
      </c>
      <c r="E141" s="4">
        <v>225</v>
      </c>
      <c r="F141" s="4">
        <f>ROUND(Source!AV136,O141)</f>
        <v>23.52</v>
      </c>
      <c r="G141" s="4" t="s">
        <v>104</v>
      </c>
      <c r="H141" s="4" t="s">
        <v>105</v>
      </c>
      <c r="I141" s="4"/>
      <c r="J141" s="4"/>
      <c r="K141" s="4">
        <v>225</v>
      </c>
      <c r="L141" s="4">
        <v>4</v>
      </c>
      <c r="M141" s="4">
        <v>3</v>
      </c>
      <c r="N141" s="4" t="s">
        <v>3</v>
      </c>
      <c r="O141" s="4">
        <v>2</v>
      </c>
      <c r="P141" s="4"/>
      <c r="Q141" s="4"/>
      <c r="R141" s="4"/>
      <c r="S141" s="4"/>
      <c r="T141" s="4"/>
      <c r="U141" s="4"/>
      <c r="V141" s="4"/>
      <c r="W141" s="4">
        <v>23.52</v>
      </c>
      <c r="X141" s="4">
        <v>1</v>
      </c>
      <c r="Y141" s="4">
        <v>23.52</v>
      </c>
      <c r="Z141" s="4"/>
      <c r="AA141" s="4"/>
      <c r="AB141" s="4"/>
    </row>
    <row r="142" spans="1:245" x14ac:dyDescent="0.2">
      <c r="A142" s="4">
        <v>50</v>
      </c>
      <c r="B142" s="4">
        <v>0</v>
      </c>
      <c r="C142" s="4">
        <v>0</v>
      </c>
      <c r="D142" s="4">
        <v>1</v>
      </c>
      <c r="E142" s="4">
        <v>226</v>
      </c>
      <c r="F142" s="4">
        <f>ROUND(Source!AW136,O142)</f>
        <v>23.52</v>
      </c>
      <c r="G142" s="4" t="s">
        <v>106</v>
      </c>
      <c r="H142" s="4" t="s">
        <v>107</v>
      </c>
      <c r="I142" s="4"/>
      <c r="J142" s="4"/>
      <c r="K142" s="4">
        <v>226</v>
      </c>
      <c r="L142" s="4">
        <v>5</v>
      </c>
      <c r="M142" s="4">
        <v>3</v>
      </c>
      <c r="N142" s="4" t="s">
        <v>3</v>
      </c>
      <c r="O142" s="4">
        <v>2</v>
      </c>
      <c r="P142" s="4"/>
      <c r="Q142" s="4"/>
      <c r="R142" s="4"/>
      <c r="S142" s="4"/>
      <c r="T142" s="4"/>
      <c r="U142" s="4"/>
      <c r="V142" s="4"/>
      <c r="W142" s="4">
        <v>23.52</v>
      </c>
      <c r="X142" s="4">
        <v>1</v>
      </c>
      <c r="Y142" s="4">
        <v>23.52</v>
      </c>
      <c r="Z142" s="4"/>
      <c r="AA142" s="4"/>
      <c r="AB142" s="4"/>
    </row>
    <row r="143" spans="1:245" x14ac:dyDescent="0.2">
      <c r="A143" s="4">
        <v>50</v>
      </c>
      <c r="B143" s="4">
        <v>0</v>
      </c>
      <c r="C143" s="4">
        <v>0</v>
      </c>
      <c r="D143" s="4">
        <v>1</v>
      </c>
      <c r="E143" s="4">
        <v>227</v>
      </c>
      <c r="F143" s="4">
        <f>ROUND(Source!AX136,O143)</f>
        <v>0</v>
      </c>
      <c r="G143" s="4" t="s">
        <v>108</v>
      </c>
      <c r="H143" s="4" t="s">
        <v>109</v>
      </c>
      <c r="I143" s="4"/>
      <c r="J143" s="4"/>
      <c r="K143" s="4">
        <v>227</v>
      </c>
      <c r="L143" s="4">
        <v>6</v>
      </c>
      <c r="M143" s="4">
        <v>3</v>
      </c>
      <c r="N143" s="4" t="s">
        <v>3</v>
      </c>
      <c r="O143" s="4">
        <v>2</v>
      </c>
      <c r="P143" s="4"/>
      <c r="Q143" s="4"/>
      <c r="R143" s="4"/>
      <c r="S143" s="4"/>
      <c r="T143" s="4"/>
      <c r="U143" s="4"/>
      <c r="V143" s="4"/>
      <c r="W143" s="4">
        <v>0</v>
      </c>
      <c r="X143" s="4">
        <v>1</v>
      </c>
      <c r="Y143" s="4">
        <v>0</v>
      </c>
      <c r="Z143" s="4"/>
      <c r="AA143" s="4"/>
      <c r="AB143" s="4"/>
    </row>
    <row r="144" spans="1:245" x14ac:dyDescent="0.2">
      <c r="A144" s="4">
        <v>50</v>
      </c>
      <c r="B144" s="4">
        <v>0</v>
      </c>
      <c r="C144" s="4">
        <v>0</v>
      </c>
      <c r="D144" s="4">
        <v>1</v>
      </c>
      <c r="E144" s="4">
        <v>228</v>
      </c>
      <c r="F144" s="4">
        <f>ROUND(Source!AY136,O144)</f>
        <v>23.52</v>
      </c>
      <c r="G144" s="4" t="s">
        <v>110</v>
      </c>
      <c r="H144" s="4" t="s">
        <v>111</v>
      </c>
      <c r="I144" s="4"/>
      <c r="J144" s="4"/>
      <c r="K144" s="4">
        <v>228</v>
      </c>
      <c r="L144" s="4">
        <v>7</v>
      </c>
      <c r="M144" s="4">
        <v>3</v>
      </c>
      <c r="N144" s="4" t="s">
        <v>3</v>
      </c>
      <c r="O144" s="4">
        <v>2</v>
      </c>
      <c r="P144" s="4"/>
      <c r="Q144" s="4"/>
      <c r="R144" s="4"/>
      <c r="S144" s="4"/>
      <c r="T144" s="4"/>
      <c r="U144" s="4"/>
      <c r="V144" s="4"/>
      <c r="W144" s="4">
        <v>23.52</v>
      </c>
      <c r="X144" s="4">
        <v>1</v>
      </c>
      <c r="Y144" s="4">
        <v>23.52</v>
      </c>
      <c r="Z144" s="4"/>
      <c r="AA144" s="4"/>
      <c r="AB144" s="4"/>
    </row>
    <row r="145" spans="1:28" x14ac:dyDescent="0.2">
      <c r="A145" s="4">
        <v>50</v>
      </c>
      <c r="B145" s="4">
        <v>0</v>
      </c>
      <c r="C145" s="4">
        <v>0</v>
      </c>
      <c r="D145" s="4">
        <v>1</v>
      </c>
      <c r="E145" s="4">
        <v>216</v>
      </c>
      <c r="F145" s="4">
        <f>ROUND(Source!AP136,O145)</f>
        <v>0</v>
      </c>
      <c r="G145" s="4" t="s">
        <v>112</v>
      </c>
      <c r="H145" s="4" t="s">
        <v>113</v>
      </c>
      <c r="I145" s="4"/>
      <c r="J145" s="4"/>
      <c r="K145" s="4">
        <v>216</v>
      </c>
      <c r="L145" s="4">
        <v>8</v>
      </c>
      <c r="M145" s="4">
        <v>3</v>
      </c>
      <c r="N145" s="4" t="s">
        <v>3</v>
      </c>
      <c r="O145" s="4">
        <v>2</v>
      </c>
      <c r="P145" s="4"/>
      <c r="Q145" s="4"/>
      <c r="R145" s="4"/>
      <c r="S145" s="4"/>
      <c r="T145" s="4"/>
      <c r="U145" s="4"/>
      <c r="V145" s="4"/>
      <c r="W145" s="4">
        <v>0</v>
      </c>
      <c r="X145" s="4">
        <v>1</v>
      </c>
      <c r="Y145" s="4">
        <v>0</v>
      </c>
      <c r="Z145" s="4"/>
      <c r="AA145" s="4"/>
      <c r="AB145" s="4"/>
    </row>
    <row r="146" spans="1:28" x14ac:dyDescent="0.2">
      <c r="A146" s="4">
        <v>50</v>
      </c>
      <c r="B146" s="4">
        <v>0</v>
      </c>
      <c r="C146" s="4">
        <v>0</v>
      </c>
      <c r="D146" s="4">
        <v>1</v>
      </c>
      <c r="E146" s="4">
        <v>223</v>
      </c>
      <c r="F146" s="4">
        <f>ROUND(Source!AQ136,O146)</f>
        <v>0</v>
      </c>
      <c r="G146" s="4" t="s">
        <v>114</v>
      </c>
      <c r="H146" s="4" t="s">
        <v>115</v>
      </c>
      <c r="I146" s="4"/>
      <c r="J146" s="4"/>
      <c r="K146" s="4">
        <v>223</v>
      </c>
      <c r="L146" s="4">
        <v>9</v>
      </c>
      <c r="M146" s="4">
        <v>3</v>
      </c>
      <c r="N146" s="4" t="s">
        <v>3</v>
      </c>
      <c r="O146" s="4">
        <v>2</v>
      </c>
      <c r="P146" s="4"/>
      <c r="Q146" s="4"/>
      <c r="R146" s="4"/>
      <c r="S146" s="4"/>
      <c r="T146" s="4"/>
      <c r="U146" s="4"/>
      <c r="V146" s="4"/>
      <c r="W146" s="4">
        <v>0</v>
      </c>
      <c r="X146" s="4">
        <v>1</v>
      </c>
      <c r="Y146" s="4">
        <v>0</v>
      </c>
      <c r="Z146" s="4"/>
      <c r="AA146" s="4"/>
      <c r="AB146" s="4"/>
    </row>
    <row r="147" spans="1:28" x14ac:dyDescent="0.2">
      <c r="A147" s="4">
        <v>50</v>
      </c>
      <c r="B147" s="4">
        <v>0</v>
      </c>
      <c r="C147" s="4">
        <v>0</v>
      </c>
      <c r="D147" s="4">
        <v>1</v>
      </c>
      <c r="E147" s="4">
        <v>229</v>
      </c>
      <c r="F147" s="4">
        <f>ROUND(Source!AZ136,O147)</f>
        <v>0</v>
      </c>
      <c r="G147" s="4" t="s">
        <v>116</v>
      </c>
      <c r="H147" s="4" t="s">
        <v>117</v>
      </c>
      <c r="I147" s="4"/>
      <c r="J147" s="4"/>
      <c r="K147" s="4">
        <v>229</v>
      </c>
      <c r="L147" s="4">
        <v>10</v>
      </c>
      <c r="M147" s="4">
        <v>3</v>
      </c>
      <c r="N147" s="4" t="s">
        <v>3</v>
      </c>
      <c r="O147" s="4">
        <v>2</v>
      </c>
      <c r="P147" s="4"/>
      <c r="Q147" s="4"/>
      <c r="R147" s="4"/>
      <c r="S147" s="4"/>
      <c r="T147" s="4"/>
      <c r="U147" s="4"/>
      <c r="V147" s="4"/>
      <c r="W147" s="4">
        <v>0</v>
      </c>
      <c r="X147" s="4">
        <v>1</v>
      </c>
      <c r="Y147" s="4">
        <v>0</v>
      </c>
      <c r="Z147" s="4"/>
      <c r="AA147" s="4"/>
      <c r="AB147" s="4"/>
    </row>
    <row r="148" spans="1:28" x14ac:dyDescent="0.2">
      <c r="A148" s="4">
        <v>50</v>
      </c>
      <c r="B148" s="4">
        <v>0</v>
      </c>
      <c r="C148" s="4">
        <v>0</v>
      </c>
      <c r="D148" s="4">
        <v>1</v>
      </c>
      <c r="E148" s="4">
        <v>203</v>
      </c>
      <c r="F148" s="4">
        <f>ROUND(Source!Q136,O148)</f>
        <v>73.92</v>
      </c>
      <c r="G148" s="4" t="s">
        <v>118</v>
      </c>
      <c r="H148" s="4" t="s">
        <v>119</v>
      </c>
      <c r="I148" s="4"/>
      <c r="J148" s="4"/>
      <c r="K148" s="4">
        <v>203</v>
      </c>
      <c r="L148" s="4">
        <v>11</v>
      </c>
      <c r="M148" s="4">
        <v>3</v>
      </c>
      <c r="N148" s="4" t="s">
        <v>3</v>
      </c>
      <c r="O148" s="4">
        <v>2</v>
      </c>
      <c r="P148" s="4"/>
      <c r="Q148" s="4"/>
      <c r="R148" s="4"/>
      <c r="S148" s="4"/>
      <c r="T148" s="4"/>
      <c r="U148" s="4"/>
      <c r="V148" s="4"/>
      <c r="W148" s="4">
        <v>73.92</v>
      </c>
      <c r="X148" s="4">
        <v>1</v>
      </c>
      <c r="Y148" s="4">
        <v>73.92</v>
      </c>
      <c r="Z148" s="4"/>
      <c r="AA148" s="4"/>
      <c r="AB148" s="4"/>
    </row>
    <row r="149" spans="1:28" x14ac:dyDescent="0.2">
      <c r="A149" s="4">
        <v>50</v>
      </c>
      <c r="B149" s="4">
        <v>0</v>
      </c>
      <c r="C149" s="4">
        <v>0</v>
      </c>
      <c r="D149" s="4">
        <v>1</v>
      </c>
      <c r="E149" s="4">
        <v>231</v>
      </c>
      <c r="F149" s="4">
        <f>ROUND(Source!BB136,O149)</f>
        <v>0</v>
      </c>
      <c r="G149" s="4" t="s">
        <v>120</v>
      </c>
      <c r="H149" s="4" t="s">
        <v>121</v>
      </c>
      <c r="I149" s="4"/>
      <c r="J149" s="4"/>
      <c r="K149" s="4">
        <v>231</v>
      </c>
      <c r="L149" s="4">
        <v>12</v>
      </c>
      <c r="M149" s="4">
        <v>3</v>
      </c>
      <c r="N149" s="4" t="s">
        <v>3</v>
      </c>
      <c r="O149" s="4">
        <v>2</v>
      </c>
      <c r="P149" s="4"/>
      <c r="Q149" s="4"/>
      <c r="R149" s="4"/>
      <c r="S149" s="4"/>
      <c r="T149" s="4"/>
      <c r="U149" s="4"/>
      <c r="V149" s="4"/>
      <c r="W149" s="4">
        <v>0</v>
      </c>
      <c r="X149" s="4">
        <v>1</v>
      </c>
      <c r="Y149" s="4">
        <v>0</v>
      </c>
      <c r="Z149" s="4"/>
      <c r="AA149" s="4"/>
      <c r="AB149" s="4"/>
    </row>
    <row r="150" spans="1:28" x14ac:dyDescent="0.2">
      <c r="A150" s="4">
        <v>50</v>
      </c>
      <c r="B150" s="4">
        <v>0</v>
      </c>
      <c r="C150" s="4">
        <v>0</v>
      </c>
      <c r="D150" s="4">
        <v>1</v>
      </c>
      <c r="E150" s="4">
        <v>204</v>
      </c>
      <c r="F150" s="4">
        <f>ROUND(Source!R136,O150)</f>
        <v>0.98</v>
      </c>
      <c r="G150" s="4" t="s">
        <v>122</v>
      </c>
      <c r="H150" s="4" t="s">
        <v>123</v>
      </c>
      <c r="I150" s="4"/>
      <c r="J150" s="4"/>
      <c r="K150" s="4">
        <v>204</v>
      </c>
      <c r="L150" s="4">
        <v>13</v>
      </c>
      <c r="M150" s="4">
        <v>3</v>
      </c>
      <c r="N150" s="4" t="s">
        <v>3</v>
      </c>
      <c r="O150" s="4">
        <v>2</v>
      </c>
      <c r="P150" s="4"/>
      <c r="Q150" s="4"/>
      <c r="R150" s="4"/>
      <c r="S150" s="4"/>
      <c r="T150" s="4"/>
      <c r="U150" s="4"/>
      <c r="V150" s="4"/>
      <c r="W150" s="4">
        <v>0.98</v>
      </c>
      <c r="X150" s="4">
        <v>1</v>
      </c>
      <c r="Y150" s="4">
        <v>0.98</v>
      </c>
      <c r="Z150" s="4"/>
      <c r="AA150" s="4"/>
      <c r="AB150" s="4"/>
    </row>
    <row r="151" spans="1:28" x14ac:dyDescent="0.2">
      <c r="A151" s="4">
        <v>50</v>
      </c>
      <c r="B151" s="4">
        <v>0</v>
      </c>
      <c r="C151" s="4">
        <v>0</v>
      </c>
      <c r="D151" s="4">
        <v>1</v>
      </c>
      <c r="E151" s="4">
        <v>205</v>
      </c>
      <c r="F151" s="4">
        <f>ROUND(Source!S136,O151)</f>
        <v>66206.14</v>
      </c>
      <c r="G151" s="4" t="s">
        <v>124</v>
      </c>
      <c r="H151" s="4" t="s">
        <v>125</v>
      </c>
      <c r="I151" s="4"/>
      <c r="J151" s="4"/>
      <c r="K151" s="4">
        <v>205</v>
      </c>
      <c r="L151" s="4">
        <v>14</v>
      </c>
      <c r="M151" s="4">
        <v>3</v>
      </c>
      <c r="N151" s="4" t="s">
        <v>3</v>
      </c>
      <c r="O151" s="4">
        <v>2</v>
      </c>
      <c r="P151" s="4"/>
      <c r="Q151" s="4"/>
      <c r="R151" s="4"/>
      <c r="S151" s="4"/>
      <c r="T151" s="4"/>
      <c r="U151" s="4"/>
      <c r="V151" s="4"/>
      <c r="W151" s="4">
        <v>66206.14</v>
      </c>
      <c r="X151" s="4">
        <v>1</v>
      </c>
      <c r="Y151" s="4">
        <v>66206.14</v>
      </c>
      <c r="Z151" s="4"/>
      <c r="AA151" s="4"/>
      <c r="AB151" s="4"/>
    </row>
    <row r="152" spans="1:28" x14ac:dyDescent="0.2">
      <c r="A152" s="4">
        <v>50</v>
      </c>
      <c r="B152" s="4">
        <v>0</v>
      </c>
      <c r="C152" s="4">
        <v>0</v>
      </c>
      <c r="D152" s="4">
        <v>1</v>
      </c>
      <c r="E152" s="4">
        <v>232</v>
      </c>
      <c r="F152" s="4">
        <f>ROUND(Source!BC136,O152)</f>
        <v>0</v>
      </c>
      <c r="G152" s="4" t="s">
        <v>126</v>
      </c>
      <c r="H152" s="4" t="s">
        <v>127</v>
      </c>
      <c r="I152" s="4"/>
      <c r="J152" s="4"/>
      <c r="K152" s="4">
        <v>232</v>
      </c>
      <c r="L152" s="4">
        <v>15</v>
      </c>
      <c r="M152" s="4">
        <v>3</v>
      </c>
      <c r="N152" s="4" t="s">
        <v>3</v>
      </c>
      <c r="O152" s="4">
        <v>2</v>
      </c>
      <c r="P152" s="4"/>
      <c r="Q152" s="4"/>
      <c r="R152" s="4"/>
      <c r="S152" s="4"/>
      <c r="T152" s="4"/>
      <c r="U152" s="4"/>
      <c r="V152" s="4"/>
      <c r="W152" s="4">
        <v>0</v>
      </c>
      <c r="X152" s="4">
        <v>1</v>
      </c>
      <c r="Y152" s="4">
        <v>0</v>
      </c>
      <c r="Z152" s="4"/>
      <c r="AA152" s="4"/>
      <c r="AB152" s="4"/>
    </row>
    <row r="153" spans="1:28" x14ac:dyDescent="0.2">
      <c r="A153" s="4">
        <v>50</v>
      </c>
      <c r="B153" s="4">
        <v>0</v>
      </c>
      <c r="C153" s="4">
        <v>0</v>
      </c>
      <c r="D153" s="4">
        <v>1</v>
      </c>
      <c r="E153" s="4">
        <v>214</v>
      </c>
      <c r="F153" s="4">
        <f>ROUND(Source!AS136,O153)</f>
        <v>0</v>
      </c>
      <c r="G153" s="4" t="s">
        <v>128</v>
      </c>
      <c r="H153" s="4" t="s">
        <v>129</v>
      </c>
      <c r="I153" s="4"/>
      <c r="J153" s="4"/>
      <c r="K153" s="4">
        <v>214</v>
      </c>
      <c r="L153" s="4">
        <v>16</v>
      </c>
      <c r="M153" s="4">
        <v>3</v>
      </c>
      <c r="N153" s="4" t="s">
        <v>3</v>
      </c>
      <c r="O153" s="4">
        <v>2</v>
      </c>
      <c r="P153" s="4"/>
      <c r="Q153" s="4"/>
      <c r="R153" s="4"/>
      <c r="S153" s="4"/>
      <c r="T153" s="4"/>
      <c r="U153" s="4"/>
      <c r="V153" s="4"/>
      <c r="W153" s="4">
        <v>0</v>
      </c>
      <c r="X153" s="4">
        <v>1</v>
      </c>
      <c r="Y153" s="4">
        <v>0</v>
      </c>
      <c r="Z153" s="4"/>
      <c r="AA153" s="4"/>
      <c r="AB153" s="4"/>
    </row>
    <row r="154" spans="1:28" x14ac:dyDescent="0.2">
      <c r="A154" s="4">
        <v>50</v>
      </c>
      <c r="B154" s="4">
        <v>0</v>
      </c>
      <c r="C154" s="4">
        <v>0</v>
      </c>
      <c r="D154" s="4">
        <v>1</v>
      </c>
      <c r="E154" s="4">
        <v>215</v>
      </c>
      <c r="F154" s="4">
        <f>ROUND(Source!AT136,O154)</f>
        <v>0</v>
      </c>
      <c r="G154" s="4" t="s">
        <v>130</v>
      </c>
      <c r="H154" s="4" t="s">
        <v>131</v>
      </c>
      <c r="I154" s="4"/>
      <c r="J154" s="4"/>
      <c r="K154" s="4">
        <v>215</v>
      </c>
      <c r="L154" s="4">
        <v>17</v>
      </c>
      <c r="M154" s="4">
        <v>3</v>
      </c>
      <c r="N154" s="4" t="s">
        <v>3</v>
      </c>
      <c r="O154" s="4">
        <v>2</v>
      </c>
      <c r="P154" s="4"/>
      <c r="Q154" s="4"/>
      <c r="R154" s="4"/>
      <c r="S154" s="4"/>
      <c r="T154" s="4"/>
      <c r="U154" s="4"/>
      <c r="V154" s="4"/>
      <c r="W154" s="4">
        <v>0</v>
      </c>
      <c r="X154" s="4">
        <v>1</v>
      </c>
      <c r="Y154" s="4">
        <v>0</v>
      </c>
      <c r="Z154" s="4"/>
      <c r="AA154" s="4"/>
      <c r="AB154" s="4"/>
    </row>
    <row r="155" spans="1:28" x14ac:dyDescent="0.2">
      <c r="A155" s="4">
        <v>50</v>
      </c>
      <c r="B155" s="4">
        <v>0</v>
      </c>
      <c r="C155" s="4">
        <v>0</v>
      </c>
      <c r="D155" s="4">
        <v>1</v>
      </c>
      <c r="E155" s="4">
        <v>217</v>
      </c>
      <c r="F155" s="4">
        <f>ROUND(Source!AU136,O155)</f>
        <v>119269.55</v>
      </c>
      <c r="G155" s="4" t="s">
        <v>132</v>
      </c>
      <c r="H155" s="4" t="s">
        <v>133</v>
      </c>
      <c r="I155" s="4"/>
      <c r="J155" s="4"/>
      <c r="K155" s="4">
        <v>217</v>
      </c>
      <c r="L155" s="4">
        <v>18</v>
      </c>
      <c r="M155" s="4">
        <v>3</v>
      </c>
      <c r="N155" s="4" t="s">
        <v>3</v>
      </c>
      <c r="O155" s="4">
        <v>2</v>
      </c>
      <c r="P155" s="4"/>
      <c r="Q155" s="4"/>
      <c r="R155" s="4"/>
      <c r="S155" s="4"/>
      <c r="T155" s="4"/>
      <c r="U155" s="4"/>
      <c r="V155" s="4"/>
      <c r="W155" s="4">
        <v>119269.55</v>
      </c>
      <c r="X155" s="4">
        <v>1</v>
      </c>
      <c r="Y155" s="4">
        <v>119269.55</v>
      </c>
      <c r="Z155" s="4"/>
      <c r="AA155" s="4"/>
      <c r="AB155" s="4"/>
    </row>
    <row r="156" spans="1:28" x14ac:dyDescent="0.2">
      <c r="A156" s="4">
        <v>50</v>
      </c>
      <c r="B156" s="4">
        <v>0</v>
      </c>
      <c r="C156" s="4">
        <v>0</v>
      </c>
      <c r="D156" s="4">
        <v>1</v>
      </c>
      <c r="E156" s="4">
        <v>230</v>
      </c>
      <c r="F156" s="4">
        <f>ROUND(Source!BA136,O156)</f>
        <v>0</v>
      </c>
      <c r="G156" s="4" t="s">
        <v>134</v>
      </c>
      <c r="H156" s="4" t="s">
        <v>135</v>
      </c>
      <c r="I156" s="4"/>
      <c r="J156" s="4"/>
      <c r="K156" s="4">
        <v>230</v>
      </c>
      <c r="L156" s="4">
        <v>19</v>
      </c>
      <c r="M156" s="4">
        <v>3</v>
      </c>
      <c r="N156" s="4" t="s">
        <v>3</v>
      </c>
      <c r="O156" s="4">
        <v>2</v>
      </c>
      <c r="P156" s="4"/>
      <c r="Q156" s="4"/>
      <c r="R156" s="4"/>
      <c r="S156" s="4"/>
      <c r="T156" s="4"/>
      <c r="U156" s="4"/>
      <c r="V156" s="4"/>
      <c r="W156" s="4">
        <v>0</v>
      </c>
      <c r="X156" s="4">
        <v>1</v>
      </c>
      <c r="Y156" s="4">
        <v>0</v>
      </c>
      <c r="Z156" s="4"/>
      <c r="AA156" s="4"/>
      <c r="AB156" s="4"/>
    </row>
    <row r="157" spans="1:28" x14ac:dyDescent="0.2">
      <c r="A157" s="4">
        <v>50</v>
      </c>
      <c r="B157" s="4">
        <v>0</v>
      </c>
      <c r="C157" s="4">
        <v>0</v>
      </c>
      <c r="D157" s="4">
        <v>1</v>
      </c>
      <c r="E157" s="4">
        <v>206</v>
      </c>
      <c r="F157" s="4">
        <f>ROUND(Source!T136,O157)</f>
        <v>0</v>
      </c>
      <c r="G157" s="4" t="s">
        <v>136</v>
      </c>
      <c r="H157" s="4" t="s">
        <v>137</v>
      </c>
      <c r="I157" s="4"/>
      <c r="J157" s="4"/>
      <c r="K157" s="4">
        <v>206</v>
      </c>
      <c r="L157" s="4">
        <v>20</v>
      </c>
      <c r="M157" s="4">
        <v>3</v>
      </c>
      <c r="N157" s="4" t="s">
        <v>3</v>
      </c>
      <c r="O157" s="4">
        <v>2</v>
      </c>
      <c r="P157" s="4"/>
      <c r="Q157" s="4"/>
      <c r="R157" s="4"/>
      <c r="S157" s="4"/>
      <c r="T157" s="4"/>
      <c r="U157" s="4"/>
      <c r="V157" s="4"/>
      <c r="W157" s="4">
        <v>0</v>
      </c>
      <c r="X157" s="4">
        <v>1</v>
      </c>
      <c r="Y157" s="4">
        <v>0</v>
      </c>
      <c r="Z157" s="4"/>
      <c r="AA157" s="4"/>
      <c r="AB157" s="4"/>
    </row>
    <row r="158" spans="1:28" x14ac:dyDescent="0.2">
      <c r="A158" s="4">
        <v>50</v>
      </c>
      <c r="B158" s="4">
        <v>0</v>
      </c>
      <c r="C158" s="4">
        <v>0</v>
      </c>
      <c r="D158" s="4">
        <v>1</v>
      </c>
      <c r="E158" s="4">
        <v>207</v>
      </c>
      <c r="F158" s="4">
        <f>Source!U136</f>
        <v>103.88</v>
      </c>
      <c r="G158" s="4" t="s">
        <v>138</v>
      </c>
      <c r="H158" s="4" t="s">
        <v>139</v>
      </c>
      <c r="I158" s="4"/>
      <c r="J158" s="4"/>
      <c r="K158" s="4">
        <v>207</v>
      </c>
      <c r="L158" s="4">
        <v>21</v>
      </c>
      <c r="M158" s="4">
        <v>3</v>
      </c>
      <c r="N158" s="4" t="s">
        <v>3</v>
      </c>
      <c r="O158" s="4">
        <v>-1</v>
      </c>
      <c r="P158" s="4"/>
      <c r="Q158" s="4"/>
      <c r="R158" s="4"/>
      <c r="S158" s="4"/>
      <c r="T158" s="4"/>
      <c r="U158" s="4"/>
      <c r="V158" s="4"/>
      <c r="W158" s="4">
        <v>103.88</v>
      </c>
      <c r="X158" s="4">
        <v>1</v>
      </c>
      <c r="Y158" s="4">
        <v>103.88</v>
      </c>
      <c r="Z158" s="4"/>
      <c r="AA158" s="4"/>
      <c r="AB158" s="4"/>
    </row>
    <row r="159" spans="1:28" x14ac:dyDescent="0.2">
      <c r="A159" s="4">
        <v>50</v>
      </c>
      <c r="B159" s="4">
        <v>0</v>
      </c>
      <c r="C159" s="4">
        <v>0</v>
      </c>
      <c r="D159" s="4">
        <v>1</v>
      </c>
      <c r="E159" s="4">
        <v>208</v>
      </c>
      <c r="F159" s="4">
        <f>Source!V136</f>
        <v>0</v>
      </c>
      <c r="G159" s="4" t="s">
        <v>140</v>
      </c>
      <c r="H159" s="4" t="s">
        <v>141</v>
      </c>
      <c r="I159" s="4"/>
      <c r="J159" s="4"/>
      <c r="K159" s="4">
        <v>208</v>
      </c>
      <c r="L159" s="4">
        <v>22</v>
      </c>
      <c r="M159" s="4">
        <v>3</v>
      </c>
      <c r="N159" s="4" t="s">
        <v>3</v>
      </c>
      <c r="O159" s="4">
        <v>-1</v>
      </c>
      <c r="P159" s="4"/>
      <c r="Q159" s="4"/>
      <c r="R159" s="4"/>
      <c r="S159" s="4"/>
      <c r="T159" s="4"/>
      <c r="U159" s="4"/>
      <c r="V159" s="4"/>
      <c r="W159" s="4">
        <v>0</v>
      </c>
      <c r="X159" s="4">
        <v>1</v>
      </c>
      <c r="Y159" s="4">
        <v>0</v>
      </c>
      <c r="Z159" s="4"/>
      <c r="AA159" s="4"/>
      <c r="AB159" s="4"/>
    </row>
    <row r="160" spans="1:28" x14ac:dyDescent="0.2">
      <c r="A160" s="4">
        <v>50</v>
      </c>
      <c r="B160" s="4">
        <v>0</v>
      </c>
      <c r="C160" s="4">
        <v>0</v>
      </c>
      <c r="D160" s="4">
        <v>1</v>
      </c>
      <c r="E160" s="4">
        <v>209</v>
      </c>
      <c r="F160" s="4">
        <f>ROUND(Source!W136,O160)</f>
        <v>0</v>
      </c>
      <c r="G160" s="4" t="s">
        <v>142</v>
      </c>
      <c r="H160" s="4" t="s">
        <v>143</v>
      </c>
      <c r="I160" s="4"/>
      <c r="J160" s="4"/>
      <c r="K160" s="4">
        <v>209</v>
      </c>
      <c r="L160" s="4">
        <v>23</v>
      </c>
      <c r="M160" s="4">
        <v>3</v>
      </c>
      <c r="N160" s="4" t="s">
        <v>3</v>
      </c>
      <c r="O160" s="4">
        <v>2</v>
      </c>
      <c r="P160" s="4"/>
      <c r="Q160" s="4"/>
      <c r="R160" s="4"/>
      <c r="S160" s="4"/>
      <c r="T160" s="4"/>
      <c r="U160" s="4"/>
      <c r="V160" s="4"/>
      <c r="W160" s="4">
        <v>0</v>
      </c>
      <c r="X160" s="4">
        <v>1</v>
      </c>
      <c r="Y160" s="4">
        <v>0</v>
      </c>
      <c r="Z160" s="4"/>
      <c r="AA160" s="4"/>
      <c r="AB160" s="4"/>
    </row>
    <row r="161" spans="1:245" x14ac:dyDescent="0.2">
      <c r="A161" s="4">
        <v>50</v>
      </c>
      <c r="B161" s="4">
        <v>0</v>
      </c>
      <c r="C161" s="4">
        <v>0</v>
      </c>
      <c r="D161" s="4">
        <v>1</v>
      </c>
      <c r="E161" s="4">
        <v>233</v>
      </c>
      <c r="F161" s="4">
        <f>ROUND(Source!BD136,O161)</f>
        <v>0</v>
      </c>
      <c r="G161" s="4" t="s">
        <v>144</v>
      </c>
      <c r="H161" s="4" t="s">
        <v>145</v>
      </c>
      <c r="I161" s="4"/>
      <c r="J161" s="4"/>
      <c r="K161" s="4">
        <v>233</v>
      </c>
      <c r="L161" s="4">
        <v>24</v>
      </c>
      <c r="M161" s="4">
        <v>3</v>
      </c>
      <c r="N161" s="4" t="s">
        <v>3</v>
      </c>
      <c r="O161" s="4">
        <v>2</v>
      </c>
      <c r="P161" s="4"/>
      <c r="Q161" s="4"/>
      <c r="R161" s="4"/>
      <c r="S161" s="4"/>
      <c r="T161" s="4"/>
      <c r="U161" s="4"/>
      <c r="V161" s="4"/>
      <c r="W161" s="4">
        <v>0</v>
      </c>
      <c r="X161" s="4">
        <v>1</v>
      </c>
      <c r="Y161" s="4">
        <v>0</v>
      </c>
      <c r="Z161" s="4"/>
      <c r="AA161" s="4"/>
      <c r="AB161" s="4"/>
    </row>
    <row r="162" spans="1:245" x14ac:dyDescent="0.2">
      <c r="A162" s="4">
        <v>50</v>
      </c>
      <c r="B162" s="4">
        <v>0</v>
      </c>
      <c r="C162" s="4">
        <v>0</v>
      </c>
      <c r="D162" s="4">
        <v>1</v>
      </c>
      <c r="E162" s="4">
        <v>210</v>
      </c>
      <c r="F162" s="4">
        <f>ROUND(Source!X136,O162)</f>
        <v>46344.3</v>
      </c>
      <c r="G162" s="4" t="s">
        <v>146</v>
      </c>
      <c r="H162" s="4" t="s">
        <v>147</v>
      </c>
      <c r="I162" s="4"/>
      <c r="J162" s="4"/>
      <c r="K162" s="4">
        <v>210</v>
      </c>
      <c r="L162" s="4">
        <v>25</v>
      </c>
      <c r="M162" s="4">
        <v>3</v>
      </c>
      <c r="N162" s="4" t="s">
        <v>3</v>
      </c>
      <c r="O162" s="4">
        <v>2</v>
      </c>
      <c r="P162" s="4"/>
      <c r="Q162" s="4"/>
      <c r="R162" s="4"/>
      <c r="S162" s="4"/>
      <c r="T162" s="4"/>
      <c r="U162" s="4"/>
      <c r="V162" s="4"/>
      <c r="W162" s="4">
        <v>46344.3</v>
      </c>
      <c r="X162" s="4">
        <v>1</v>
      </c>
      <c r="Y162" s="4">
        <v>46344.3</v>
      </c>
      <c r="Z162" s="4"/>
      <c r="AA162" s="4"/>
      <c r="AB162" s="4"/>
    </row>
    <row r="163" spans="1:245" x14ac:dyDescent="0.2">
      <c r="A163" s="4">
        <v>50</v>
      </c>
      <c r="B163" s="4">
        <v>0</v>
      </c>
      <c r="C163" s="4">
        <v>0</v>
      </c>
      <c r="D163" s="4">
        <v>1</v>
      </c>
      <c r="E163" s="4">
        <v>211</v>
      </c>
      <c r="F163" s="4">
        <f>ROUND(Source!Y136,O163)</f>
        <v>6620.61</v>
      </c>
      <c r="G163" s="4" t="s">
        <v>148</v>
      </c>
      <c r="H163" s="4" t="s">
        <v>149</v>
      </c>
      <c r="I163" s="4"/>
      <c r="J163" s="4"/>
      <c r="K163" s="4">
        <v>211</v>
      </c>
      <c r="L163" s="4">
        <v>26</v>
      </c>
      <c r="M163" s="4">
        <v>3</v>
      </c>
      <c r="N163" s="4" t="s">
        <v>3</v>
      </c>
      <c r="O163" s="4">
        <v>2</v>
      </c>
      <c r="P163" s="4"/>
      <c r="Q163" s="4"/>
      <c r="R163" s="4"/>
      <c r="S163" s="4"/>
      <c r="T163" s="4"/>
      <c r="U163" s="4"/>
      <c r="V163" s="4"/>
      <c r="W163" s="4">
        <v>6620.61</v>
      </c>
      <c r="X163" s="4">
        <v>1</v>
      </c>
      <c r="Y163" s="4">
        <v>6620.61</v>
      </c>
      <c r="Z163" s="4"/>
      <c r="AA163" s="4"/>
      <c r="AB163" s="4"/>
    </row>
    <row r="164" spans="1:245" x14ac:dyDescent="0.2">
      <c r="A164" s="4">
        <v>50</v>
      </c>
      <c r="B164" s="4">
        <v>0</v>
      </c>
      <c r="C164" s="4">
        <v>0</v>
      </c>
      <c r="D164" s="4">
        <v>1</v>
      </c>
      <c r="E164" s="4">
        <v>224</v>
      </c>
      <c r="F164" s="4">
        <f>ROUND(Source!AR136,O164)</f>
        <v>119269.55</v>
      </c>
      <c r="G164" s="4" t="s">
        <v>150</v>
      </c>
      <c r="H164" s="4" t="s">
        <v>151</v>
      </c>
      <c r="I164" s="4"/>
      <c r="J164" s="4"/>
      <c r="K164" s="4">
        <v>224</v>
      </c>
      <c r="L164" s="4">
        <v>27</v>
      </c>
      <c r="M164" s="4">
        <v>3</v>
      </c>
      <c r="N164" s="4" t="s">
        <v>3</v>
      </c>
      <c r="O164" s="4">
        <v>2</v>
      </c>
      <c r="P164" s="4"/>
      <c r="Q164" s="4"/>
      <c r="R164" s="4"/>
      <c r="S164" s="4"/>
      <c r="T164" s="4"/>
      <c r="U164" s="4"/>
      <c r="V164" s="4"/>
      <c r="W164" s="4">
        <v>119269.55</v>
      </c>
      <c r="X164" s="4">
        <v>1</v>
      </c>
      <c r="Y164" s="4">
        <v>119269.55</v>
      </c>
      <c r="Z164" s="4"/>
      <c r="AA164" s="4"/>
      <c r="AB164" s="4"/>
    </row>
    <row r="166" spans="1:245" x14ac:dyDescent="0.2">
      <c r="A166" s="1">
        <v>5</v>
      </c>
      <c r="B166" s="1">
        <v>1</v>
      </c>
      <c r="C166" s="1"/>
      <c r="D166" s="1">
        <f>ROW(A201)</f>
        <v>201</v>
      </c>
      <c r="E166" s="1"/>
      <c r="F166" s="1" t="s">
        <v>14</v>
      </c>
      <c r="G166" s="1" t="s">
        <v>196</v>
      </c>
      <c r="H166" s="1" t="s">
        <v>3</v>
      </c>
      <c r="I166" s="1">
        <v>0</v>
      </c>
      <c r="J166" s="1"/>
      <c r="K166" s="1">
        <v>-1</v>
      </c>
      <c r="L166" s="1"/>
      <c r="M166" s="1" t="s">
        <v>3</v>
      </c>
      <c r="N166" s="1"/>
      <c r="O166" s="1"/>
      <c r="P166" s="1"/>
      <c r="Q166" s="1"/>
      <c r="R166" s="1"/>
      <c r="S166" s="1">
        <v>0</v>
      </c>
      <c r="T166" s="1"/>
      <c r="U166" s="1" t="s">
        <v>3</v>
      </c>
      <c r="V166" s="1">
        <v>0</v>
      </c>
      <c r="W166" s="1"/>
      <c r="X166" s="1"/>
      <c r="Y166" s="1"/>
      <c r="Z166" s="1"/>
      <c r="AA166" s="1"/>
      <c r="AB166" s="1" t="s">
        <v>3</v>
      </c>
      <c r="AC166" s="1" t="s">
        <v>3</v>
      </c>
      <c r="AD166" s="1" t="s">
        <v>3</v>
      </c>
      <c r="AE166" s="1" t="s">
        <v>3</v>
      </c>
      <c r="AF166" s="1" t="s">
        <v>3</v>
      </c>
      <c r="AG166" s="1" t="s">
        <v>3</v>
      </c>
      <c r="AH166" s="1"/>
      <c r="AI166" s="1"/>
      <c r="AJ166" s="1"/>
      <c r="AK166" s="1"/>
      <c r="AL166" s="1"/>
      <c r="AM166" s="1"/>
      <c r="AN166" s="1"/>
      <c r="AO166" s="1"/>
      <c r="AP166" s="1" t="s">
        <v>3</v>
      </c>
      <c r="AQ166" s="1" t="s">
        <v>3</v>
      </c>
      <c r="AR166" s="1" t="s">
        <v>3</v>
      </c>
      <c r="AS166" s="1"/>
      <c r="AT166" s="1"/>
      <c r="AU166" s="1"/>
      <c r="AV166" s="1"/>
      <c r="AW166" s="1"/>
      <c r="AX166" s="1"/>
      <c r="AY166" s="1"/>
      <c r="AZ166" s="1" t="s">
        <v>3</v>
      </c>
      <c r="BA166" s="1"/>
      <c r="BB166" s="1" t="s">
        <v>3</v>
      </c>
      <c r="BC166" s="1" t="s">
        <v>3</v>
      </c>
      <c r="BD166" s="1" t="s">
        <v>3</v>
      </c>
      <c r="BE166" s="1" t="s">
        <v>3</v>
      </c>
      <c r="BF166" s="1" t="s">
        <v>3</v>
      </c>
      <c r="BG166" s="1" t="s">
        <v>3</v>
      </c>
      <c r="BH166" s="1" t="s">
        <v>3</v>
      </c>
      <c r="BI166" s="1" t="s">
        <v>3</v>
      </c>
      <c r="BJ166" s="1" t="s">
        <v>3</v>
      </c>
      <c r="BK166" s="1" t="s">
        <v>3</v>
      </c>
      <c r="BL166" s="1" t="s">
        <v>3</v>
      </c>
      <c r="BM166" s="1" t="s">
        <v>3</v>
      </c>
      <c r="BN166" s="1" t="s">
        <v>3</v>
      </c>
      <c r="BO166" s="1" t="s">
        <v>3</v>
      </c>
      <c r="BP166" s="1" t="s">
        <v>3</v>
      </c>
      <c r="BQ166" s="1"/>
      <c r="BR166" s="1"/>
      <c r="BS166" s="1"/>
      <c r="BT166" s="1"/>
      <c r="BU166" s="1"/>
      <c r="BV166" s="1"/>
      <c r="BW166" s="1"/>
      <c r="BX166" s="1">
        <v>0</v>
      </c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>
        <v>0</v>
      </c>
    </row>
    <row r="168" spans="1:245" x14ac:dyDescent="0.2">
      <c r="A168" s="2">
        <v>52</v>
      </c>
      <c r="B168" s="2">
        <f t="shared" ref="B168:G168" si="123">B201</f>
        <v>1</v>
      </c>
      <c r="C168" s="2">
        <f t="shared" si="123"/>
        <v>5</v>
      </c>
      <c r="D168" s="2">
        <f t="shared" si="123"/>
        <v>166</v>
      </c>
      <c r="E168" s="2">
        <f t="shared" si="123"/>
        <v>0</v>
      </c>
      <c r="F168" s="2" t="str">
        <f t="shared" si="123"/>
        <v>Новый подраздел</v>
      </c>
      <c r="G168" s="2" t="str">
        <f t="shared" si="123"/>
        <v>Система электроснабжения</v>
      </c>
      <c r="H168" s="2"/>
      <c r="I168" s="2"/>
      <c r="J168" s="2"/>
      <c r="K168" s="2"/>
      <c r="L168" s="2"/>
      <c r="M168" s="2"/>
      <c r="N168" s="2"/>
      <c r="O168" s="2">
        <f t="shared" ref="O168:AT168" si="124">O201</f>
        <v>212280.22</v>
      </c>
      <c r="P168" s="2">
        <f t="shared" si="124"/>
        <v>2698.07</v>
      </c>
      <c r="Q168" s="2">
        <f t="shared" si="124"/>
        <v>2480.94</v>
      </c>
      <c r="R168" s="2">
        <f t="shared" si="124"/>
        <v>1573.08</v>
      </c>
      <c r="S168" s="2">
        <f t="shared" si="124"/>
        <v>207101.21</v>
      </c>
      <c r="T168" s="2">
        <f t="shared" si="124"/>
        <v>0</v>
      </c>
      <c r="U168" s="2">
        <f t="shared" si="124"/>
        <v>335.36599999999993</v>
      </c>
      <c r="V168" s="2">
        <f t="shared" si="124"/>
        <v>0</v>
      </c>
      <c r="W168" s="2">
        <f t="shared" si="124"/>
        <v>0</v>
      </c>
      <c r="X168" s="2">
        <f t="shared" si="124"/>
        <v>144970.85</v>
      </c>
      <c r="Y168" s="2">
        <f t="shared" si="124"/>
        <v>20710.11</v>
      </c>
      <c r="Z168" s="2">
        <f t="shared" si="124"/>
        <v>0</v>
      </c>
      <c r="AA168" s="2">
        <f t="shared" si="124"/>
        <v>0</v>
      </c>
      <c r="AB168" s="2">
        <f t="shared" si="124"/>
        <v>212280.22</v>
      </c>
      <c r="AC168" s="2">
        <f t="shared" si="124"/>
        <v>2698.07</v>
      </c>
      <c r="AD168" s="2">
        <f t="shared" si="124"/>
        <v>2480.94</v>
      </c>
      <c r="AE168" s="2">
        <f t="shared" si="124"/>
        <v>1573.08</v>
      </c>
      <c r="AF168" s="2">
        <f t="shared" si="124"/>
        <v>207101.21</v>
      </c>
      <c r="AG168" s="2">
        <f t="shared" si="124"/>
        <v>0</v>
      </c>
      <c r="AH168" s="2">
        <f t="shared" si="124"/>
        <v>335.36599999999993</v>
      </c>
      <c r="AI168" s="2">
        <f t="shared" si="124"/>
        <v>0</v>
      </c>
      <c r="AJ168" s="2">
        <f t="shared" si="124"/>
        <v>0</v>
      </c>
      <c r="AK168" s="2">
        <f t="shared" si="124"/>
        <v>144970.85</v>
      </c>
      <c r="AL168" s="2">
        <f t="shared" si="124"/>
        <v>20710.11</v>
      </c>
      <c r="AM168" s="2">
        <f t="shared" si="124"/>
        <v>0</v>
      </c>
      <c r="AN168" s="2">
        <f t="shared" si="124"/>
        <v>0</v>
      </c>
      <c r="AO168" s="2">
        <f t="shared" si="124"/>
        <v>0</v>
      </c>
      <c r="AP168" s="2">
        <f t="shared" si="124"/>
        <v>0</v>
      </c>
      <c r="AQ168" s="2">
        <f t="shared" si="124"/>
        <v>0</v>
      </c>
      <c r="AR168" s="2">
        <f t="shared" si="124"/>
        <v>379660.11</v>
      </c>
      <c r="AS168" s="2">
        <f t="shared" si="124"/>
        <v>0</v>
      </c>
      <c r="AT168" s="2">
        <f t="shared" si="124"/>
        <v>0</v>
      </c>
      <c r="AU168" s="2">
        <f t="shared" ref="AU168:BZ168" si="125">AU201</f>
        <v>379660.11</v>
      </c>
      <c r="AV168" s="2">
        <f t="shared" si="125"/>
        <v>2698.07</v>
      </c>
      <c r="AW168" s="2">
        <f t="shared" si="125"/>
        <v>2698.07</v>
      </c>
      <c r="AX168" s="2">
        <f t="shared" si="125"/>
        <v>0</v>
      </c>
      <c r="AY168" s="2">
        <f t="shared" si="125"/>
        <v>2698.07</v>
      </c>
      <c r="AZ168" s="2">
        <f t="shared" si="125"/>
        <v>0</v>
      </c>
      <c r="BA168" s="2">
        <f t="shared" si="125"/>
        <v>0</v>
      </c>
      <c r="BB168" s="2">
        <f t="shared" si="125"/>
        <v>0</v>
      </c>
      <c r="BC168" s="2">
        <f t="shared" si="125"/>
        <v>0</v>
      </c>
      <c r="BD168" s="2">
        <f t="shared" si="125"/>
        <v>0</v>
      </c>
      <c r="BE168" s="2">
        <f t="shared" si="125"/>
        <v>0</v>
      </c>
      <c r="BF168" s="2">
        <f t="shared" si="125"/>
        <v>0</v>
      </c>
      <c r="BG168" s="2">
        <f t="shared" si="125"/>
        <v>0</v>
      </c>
      <c r="BH168" s="2">
        <f t="shared" si="125"/>
        <v>0</v>
      </c>
      <c r="BI168" s="2">
        <f t="shared" si="125"/>
        <v>0</v>
      </c>
      <c r="BJ168" s="2">
        <f t="shared" si="125"/>
        <v>0</v>
      </c>
      <c r="BK168" s="2">
        <f t="shared" si="125"/>
        <v>0</v>
      </c>
      <c r="BL168" s="2">
        <f t="shared" si="125"/>
        <v>0</v>
      </c>
      <c r="BM168" s="2">
        <f t="shared" si="125"/>
        <v>0</v>
      </c>
      <c r="BN168" s="2">
        <f t="shared" si="125"/>
        <v>0</v>
      </c>
      <c r="BO168" s="2">
        <f t="shared" si="125"/>
        <v>0</v>
      </c>
      <c r="BP168" s="2">
        <f t="shared" si="125"/>
        <v>0</v>
      </c>
      <c r="BQ168" s="2">
        <f t="shared" si="125"/>
        <v>0</v>
      </c>
      <c r="BR168" s="2">
        <f t="shared" si="125"/>
        <v>0</v>
      </c>
      <c r="BS168" s="2">
        <f t="shared" si="125"/>
        <v>0</v>
      </c>
      <c r="BT168" s="2">
        <f t="shared" si="125"/>
        <v>0</v>
      </c>
      <c r="BU168" s="2">
        <f t="shared" si="125"/>
        <v>0</v>
      </c>
      <c r="BV168" s="2">
        <f t="shared" si="125"/>
        <v>0</v>
      </c>
      <c r="BW168" s="2">
        <f t="shared" si="125"/>
        <v>0</v>
      </c>
      <c r="BX168" s="2">
        <f t="shared" si="125"/>
        <v>0</v>
      </c>
      <c r="BY168" s="2">
        <f t="shared" si="125"/>
        <v>0</v>
      </c>
      <c r="BZ168" s="2">
        <f t="shared" si="125"/>
        <v>0</v>
      </c>
      <c r="CA168" s="2">
        <f t="shared" ref="CA168:DF168" si="126">CA201</f>
        <v>379660.11</v>
      </c>
      <c r="CB168" s="2">
        <f t="shared" si="126"/>
        <v>0</v>
      </c>
      <c r="CC168" s="2">
        <f t="shared" si="126"/>
        <v>0</v>
      </c>
      <c r="CD168" s="2">
        <f t="shared" si="126"/>
        <v>379660.11</v>
      </c>
      <c r="CE168" s="2">
        <f t="shared" si="126"/>
        <v>2698.07</v>
      </c>
      <c r="CF168" s="2">
        <f t="shared" si="126"/>
        <v>2698.07</v>
      </c>
      <c r="CG168" s="2">
        <f t="shared" si="126"/>
        <v>0</v>
      </c>
      <c r="CH168" s="2">
        <f t="shared" si="126"/>
        <v>2698.07</v>
      </c>
      <c r="CI168" s="2">
        <f t="shared" si="126"/>
        <v>0</v>
      </c>
      <c r="CJ168" s="2">
        <f t="shared" si="126"/>
        <v>0</v>
      </c>
      <c r="CK168" s="2">
        <f t="shared" si="126"/>
        <v>0</v>
      </c>
      <c r="CL168" s="2">
        <f t="shared" si="126"/>
        <v>0</v>
      </c>
      <c r="CM168" s="2">
        <f t="shared" si="126"/>
        <v>0</v>
      </c>
      <c r="CN168" s="2">
        <f t="shared" si="126"/>
        <v>0</v>
      </c>
      <c r="CO168" s="2">
        <f t="shared" si="126"/>
        <v>0</v>
      </c>
      <c r="CP168" s="2">
        <f t="shared" si="126"/>
        <v>0</v>
      </c>
      <c r="CQ168" s="2">
        <f t="shared" si="126"/>
        <v>0</v>
      </c>
      <c r="CR168" s="2">
        <f t="shared" si="126"/>
        <v>0</v>
      </c>
      <c r="CS168" s="2">
        <f t="shared" si="126"/>
        <v>0</v>
      </c>
      <c r="CT168" s="2">
        <f t="shared" si="126"/>
        <v>0</v>
      </c>
      <c r="CU168" s="2">
        <f t="shared" si="126"/>
        <v>0</v>
      </c>
      <c r="CV168" s="2">
        <f t="shared" si="126"/>
        <v>0</v>
      </c>
      <c r="CW168" s="2">
        <f t="shared" si="126"/>
        <v>0</v>
      </c>
      <c r="CX168" s="2">
        <f t="shared" si="126"/>
        <v>0</v>
      </c>
      <c r="CY168" s="2">
        <f t="shared" si="126"/>
        <v>0</v>
      </c>
      <c r="CZ168" s="2">
        <f t="shared" si="126"/>
        <v>0</v>
      </c>
      <c r="DA168" s="2">
        <f t="shared" si="126"/>
        <v>0</v>
      </c>
      <c r="DB168" s="2">
        <f t="shared" si="126"/>
        <v>0</v>
      </c>
      <c r="DC168" s="2">
        <f t="shared" si="126"/>
        <v>0</v>
      </c>
      <c r="DD168" s="2">
        <f t="shared" si="126"/>
        <v>0</v>
      </c>
      <c r="DE168" s="2">
        <f t="shared" si="126"/>
        <v>0</v>
      </c>
      <c r="DF168" s="2">
        <f t="shared" si="126"/>
        <v>0</v>
      </c>
      <c r="DG168" s="3">
        <f t="shared" ref="DG168:EL168" si="127">DG201</f>
        <v>0</v>
      </c>
      <c r="DH168" s="3">
        <f t="shared" si="127"/>
        <v>0</v>
      </c>
      <c r="DI168" s="3">
        <f t="shared" si="127"/>
        <v>0</v>
      </c>
      <c r="DJ168" s="3">
        <f t="shared" si="127"/>
        <v>0</v>
      </c>
      <c r="DK168" s="3">
        <f t="shared" si="127"/>
        <v>0</v>
      </c>
      <c r="DL168" s="3">
        <f t="shared" si="127"/>
        <v>0</v>
      </c>
      <c r="DM168" s="3">
        <f t="shared" si="127"/>
        <v>0</v>
      </c>
      <c r="DN168" s="3">
        <f t="shared" si="127"/>
        <v>0</v>
      </c>
      <c r="DO168" s="3">
        <f t="shared" si="127"/>
        <v>0</v>
      </c>
      <c r="DP168" s="3">
        <f t="shared" si="127"/>
        <v>0</v>
      </c>
      <c r="DQ168" s="3">
        <f t="shared" si="127"/>
        <v>0</v>
      </c>
      <c r="DR168" s="3">
        <f t="shared" si="127"/>
        <v>0</v>
      </c>
      <c r="DS168" s="3">
        <f t="shared" si="127"/>
        <v>0</v>
      </c>
      <c r="DT168" s="3">
        <f t="shared" si="127"/>
        <v>0</v>
      </c>
      <c r="DU168" s="3">
        <f t="shared" si="127"/>
        <v>0</v>
      </c>
      <c r="DV168" s="3">
        <f t="shared" si="127"/>
        <v>0</v>
      </c>
      <c r="DW168" s="3">
        <f t="shared" si="127"/>
        <v>0</v>
      </c>
      <c r="DX168" s="3">
        <f t="shared" si="127"/>
        <v>0</v>
      </c>
      <c r="DY168" s="3">
        <f t="shared" si="127"/>
        <v>0</v>
      </c>
      <c r="DZ168" s="3">
        <f t="shared" si="127"/>
        <v>0</v>
      </c>
      <c r="EA168" s="3">
        <f t="shared" si="127"/>
        <v>0</v>
      </c>
      <c r="EB168" s="3">
        <f t="shared" si="127"/>
        <v>0</v>
      </c>
      <c r="EC168" s="3">
        <f t="shared" si="127"/>
        <v>0</v>
      </c>
      <c r="ED168" s="3">
        <f t="shared" si="127"/>
        <v>0</v>
      </c>
      <c r="EE168" s="3">
        <f t="shared" si="127"/>
        <v>0</v>
      </c>
      <c r="EF168" s="3">
        <f t="shared" si="127"/>
        <v>0</v>
      </c>
      <c r="EG168" s="3">
        <f t="shared" si="127"/>
        <v>0</v>
      </c>
      <c r="EH168" s="3">
        <f t="shared" si="127"/>
        <v>0</v>
      </c>
      <c r="EI168" s="3">
        <f t="shared" si="127"/>
        <v>0</v>
      </c>
      <c r="EJ168" s="3">
        <f t="shared" si="127"/>
        <v>0</v>
      </c>
      <c r="EK168" s="3">
        <f t="shared" si="127"/>
        <v>0</v>
      </c>
      <c r="EL168" s="3">
        <f t="shared" si="127"/>
        <v>0</v>
      </c>
      <c r="EM168" s="3">
        <f t="shared" ref="EM168:FR168" si="128">EM201</f>
        <v>0</v>
      </c>
      <c r="EN168" s="3">
        <f t="shared" si="128"/>
        <v>0</v>
      </c>
      <c r="EO168" s="3">
        <f t="shared" si="128"/>
        <v>0</v>
      </c>
      <c r="EP168" s="3">
        <f t="shared" si="128"/>
        <v>0</v>
      </c>
      <c r="EQ168" s="3">
        <f t="shared" si="128"/>
        <v>0</v>
      </c>
      <c r="ER168" s="3">
        <f t="shared" si="128"/>
        <v>0</v>
      </c>
      <c r="ES168" s="3">
        <f t="shared" si="128"/>
        <v>0</v>
      </c>
      <c r="ET168" s="3">
        <f t="shared" si="128"/>
        <v>0</v>
      </c>
      <c r="EU168" s="3">
        <f t="shared" si="128"/>
        <v>0</v>
      </c>
      <c r="EV168" s="3">
        <f t="shared" si="128"/>
        <v>0</v>
      </c>
      <c r="EW168" s="3">
        <f t="shared" si="128"/>
        <v>0</v>
      </c>
      <c r="EX168" s="3">
        <f t="shared" si="128"/>
        <v>0</v>
      </c>
      <c r="EY168" s="3">
        <f t="shared" si="128"/>
        <v>0</v>
      </c>
      <c r="EZ168" s="3">
        <f t="shared" si="128"/>
        <v>0</v>
      </c>
      <c r="FA168" s="3">
        <f t="shared" si="128"/>
        <v>0</v>
      </c>
      <c r="FB168" s="3">
        <f t="shared" si="128"/>
        <v>0</v>
      </c>
      <c r="FC168" s="3">
        <f t="shared" si="128"/>
        <v>0</v>
      </c>
      <c r="FD168" s="3">
        <f t="shared" si="128"/>
        <v>0</v>
      </c>
      <c r="FE168" s="3">
        <f t="shared" si="128"/>
        <v>0</v>
      </c>
      <c r="FF168" s="3">
        <f t="shared" si="128"/>
        <v>0</v>
      </c>
      <c r="FG168" s="3">
        <f t="shared" si="128"/>
        <v>0</v>
      </c>
      <c r="FH168" s="3">
        <f t="shared" si="128"/>
        <v>0</v>
      </c>
      <c r="FI168" s="3">
        <f t="shared" si="128"/>
        <v>0</v>
      </c>
      <c r="FJ168" s="3">
        <f t="shared" si="128"/>
        <v>0</v>
      </c>
      <c r="FK168" s="3">
        <f t="shared" si="128"/>
        <v>0</v>
      </c>
      <c r="FL168" s="3">
        <f t="shared" si="128"/>
        <v>0</v>
      </c>
      <c r="FM168" s="3">
        <f t="shared" si="128"/>
        <v>0</v>
      </c>
      <c r="FN168" s="3">
        <f t="shared" si="128"/>
        <v>0</v>
      </c>
      <c r="FO168" s="3">
        <f t="shared" si="128"/>
        <v>0</v>
      </c>
      <c r="FP168" s="3">
        <f t="shared" si="128"/>
        <v>0</v>
      </c>
      <c r="FQ168" s="3">
        <f t="shared" si="128"/>
        <v>0</v>
      </c>
      <c r="FR168" s="3">
        <f t="shared" si="128"/>
        <v>0</v>
      </c>
      <c r="FS168" s="3">
        <f t="shared" ref="FS168:GX168" si="129">FS201</f>
        <v>0</v>
      </c>
      <c r="FT168" s="3">
        <f t="shared" si="129"/>
        <v>0</v>
      </c>
      <c r="FU168" s="3">
        <f t="shared" si="129"/>
        <v>0</v>
      </c>
      <c r="FV168" s="3">
        <f t="shared" si="129"/>
        <v>0</v>
      </c>
      <c r="FW168" s="3">
        <f t="shared" si="129"/>
        <v>0</v>
      </c>
      <c r="FX168" s="3">
        <f t="shared" si="129"/>
        <v>0</v>
      </c>
      <c r="FY168" s="3">
        <f t="shared" si="129"/>
        <v>0</v>
      </c>
      <c r="FZ168" s="3">
        <f t="shared" si="129"/>
        <v>0</v>
      </c>
      <c r="GA168" s="3">
        <f t="shared" si="129"/>
        <v>0</v>
      </c>
      <c r="GB168" s="3">
        <f t="shared" si="129"/>
        <v>0</v>
      </c>
      <c r="GC168" s="3">
        <f t="shared" si="129"/>
        <v>0</v>
      </c>
      <c r="GD168" s="3">
        <f t="shared" si="129"/>
        <v>0</v>
      </c>
      <c r="GE168" s="3">
        <f t="shared" si="129"/>
        <v>0</v>
      </c>
      <c r="GF168" s="3">
        <f t="shared" si="129"/>
        <v>0</v>
      </c>
      <c r="GG168" s="3">
        <f t="shared" si="129"/>
        <v>0</v>
      </c>
      <c r="GH168" s="3">
        <f t="shared" si="129"/>
        <v>0</v>
      </c>
      <c r="GI168" s="3">
        <f t="shared" si="129"/>
        <v>0</v>
      </c>
      <c r="GJ168" s="3">
        <f t="shared" si="129"/>
        <v>0</v>
      </c>
      <c r="GK168" s="3">
        <f t="shared" si="129"/>
        <v>0</v>
      </c>
      <c r="GL168" s="3">
        <f t="shared" si="129"/>
        <v>0</v>
      </c>
      <c r="GM168" s="3">
        <f t="shared" si="129"/>
        <v>0</v>
      </c>
      <c r="GN168" s="3">
        <f t="shared" si="129"/>
        <v>0</v>
      </c>
      <c r="GO168" s="3">
        <f t="shared" si="129"/>
        <v>0</v>
      </c>
      <c r="GP168" s="3">
        <f t="shared" si="129"/>
        <v>0</v>
      </c>
      <c r="GQ168" s="3">
        <f t="shared" si="129"/>
        <v>0</v>
      </c>
      <c r="GR168" s="3">
        <f t="shared" si="129"/>
        <v>0</v>
      </c>
      <c r="GS168" s="3">
        <f t="shared" si="129"/>
        <v>0</v>
      </c>
      <c r="GT168" s="3">
        <f t="shared" si="129"/>
        <v>0</v>
      </c>
      <c r="GU168" s="3">
        <f t="shared" si="129"/>
        <v>0</v>
      </c>
      <c r="GV168" s="3">
        <f t="shared" si="129"/>
        <v>0</v>
      </c>
      <c r="GW168" s="3">
        <f t="shared" si="129"/>
        <v>0</v>
      </c>
      <c r="GX168" s="3">
        <f t="shared" si="129"/>
        <v>0</v>
      </c>
    </row>
    <row r="170" spans="1:245" x14ac:dyDescent="0.2">
      <c r="A170">
        <v>19</v>
      </c>
      <c r="B170">
        <v>1</v>
      </c>
      <c r="F170" t="s">
        <v>3</v>
      </c>
      <c r="G170" t="s">
        <v>197</v>
      </c>
      <c r="H170" t="s">
        <v>3</v>
      </c>
      <c r="AA170">
        <v>1</v>
      </c>
      <c r="IK170">
        <v>0</v>
      </c>
    </row>
    <row r="171" spans="1:245" x14ac:dyDescent="0.2">
      <c r="A171">
        <v>17</v>
      </c>
      <c r="B171">
        <v>1</v>
      </c>
      <c r="D171">
        <f>ROW(EtalonRes!A75)</f>
        <v>75</v>
      </c>
      <c r="E171" t="s">
        <v>198</v>
      </c>
      <c r="F171" t="s">
        <v>199</v>
      </c>
      <c r="G171" t="s">
        <v>200</v>
      </c>
      <c r="H171" t="s">
        <v>36</v>
      </c>
      <c r="I171">
        <f>ROUND(1*7,9)</f>
        <v>7</v>
      </c>
      <c r="J171">
        <v>0</v>
      </c>
      <c r="K171">
        <f>ROUND(1*7,9)</f>
        <v>7</v>
      </c>
      <c r="O171">
        <f t="shared" ref="O171:O178" si="130">ROUND(CP171,2)</f>
        <v>105177.03</v>
      </c>
      <c r="P171">
        <f t="shared" ref="P171:P178" si="131">ROUND(CQ171*I171,2)</f>
        <v>1438.71</v>
      </c>
      <c r="Q171">
        <f t="shared" ref="Q171:Q178" si="132">ROUND(CR171*I171,2)</f>
        <v>0</v>
      </c>
      <c r="R171">
        <f t="shared" ref="R171:R178" si="133">ROUND(CS171*I171,2)</f>
        <v>0</v>
      </c>
      <c r="S171">
        <f t="shared" ref="S171:S178" si="134">ROUND(CT171*I171,2)</f>
        <v>103738.32</v>
      </c>
      <c r="T171">
        <f t="shared" ref="T171:T178" si="135">ROUND(CU171*I171,2)</f>
        <v>0</v>
      </c>
      <c r="U171">
        <f t="shared" ref="U171:U178" si="136">CV171*I171</f>
        <v>168</v>
      </c>
      <c r="V171">
        <f t="shared" ref="V171:V178" si="137">CW171*I171</f>
        <v>0</v>
      </c>
      <c r="W171">
        <f t="shared" ref="W171:W178" si="138">ROUND(CX171*I171,2)</f>
        <v>0</v>
      </c>
      <c r="X171">
        <f t="shared" ref="X171:Y178" si="139">ROUND(CY171,2)</f>
        <v>72616.820000000007</v>
      </c>
      <c r="Y171">
        <f t="shared" si="139"/>
        <v>10373.83</v>
      </c>
      <c r="AA171">
        <v>1471718271</v>
      </c>
      <c r="AB171">
        <f t="shared" ref="AB171:AB178" si="140">ROUND((AC171+AD171+AF171),6)</f>
        <v>15025.29</v>
      </c>
      <c r="AC171">
        <f>ROUND((ES171),6)</f>
        <v>205.53</v>
      </c>
      <c r="AD171">
        <f>ROUND((((ET171)-(EU171))+AE171),6)</f>
        <v>0</v>
      </c>
      <c r="AE171">
        <f>ROUND((EU171),6)</f>
        <v>0</v>
      </c>
      <c r="AF171">
        <f>ROUND((EV171),6)</f>
        <v>14819.76</v>
      </c>
      <c r="AG171">
        <f t="shared" ref="AG171:AG178" si="141">ROUND((AP171),6)</f>
        <v>0</v>
      </c>
      <c r="AH171">
        <f>(EW171)</f>
        <v>24</v>
      </c>
      <c r="AI171">
        <f>(EX171)</f>
        <v>0</v>
      </c>
      <c r="AJ171">
        <f t="shared" ref="AJ171:AJ178" si="142">(AS171)</f>
        <v>0</v>
      </c>
      <c r="AK171">
        <v>15025.29</v>
      </c>
      <c r="AL171">
        <v>205.53</v>
      </c>
      <c r="AM171">
        <v>0</v>
      </c>
      <c r="AN171">
        <v>0</v>
      </c>
      <c r="AO171">
        <v>14819.76</v>
      </c>
      <c r="AP171">
        <v>0</v>
      </c>
      <c r="AQ171">
        <v>24</v>
      </c>
      <c r="AR171">
        <v>0</v>
      </c>
      <c r="AS171">
        <v>0</v>
      </c>
      <c r="AT171">
        <v>70</v>
      </c>
      <c r="AU171">
        <v>10</v>
      </c>
      <c r="AV171">
        <v>1</v>
      </c>
      <c r="AW171">
        <v>1</v>
      </c>
      <c r="AZ171">
        <v>1</v>
      </c>
      <c r="BA171">
        <v>1</v>
      </c>
      <c r="BB171">
        <v>1</v>
      </c>
      <c r="BC171">
        <v>1</v>
      </c>
      <c r="BD171" t="s">
        <v>3</v>
      </c>
      <c r="BE171" t="s">
        <v>3</v>
      </c>
      <c r="BF171" t="s">
        <v>3</v>
      </c>
      <c r="BG171" t="s">
        <v>3</v>
      </c>
      <c r="BH171">
        <v>0</v>
      </c>
      <c r="BI171">
        <v>4</v>
      </c>
      <c r="BJ171" t="s">
        <v>201</v>
      </c>
      <c r="BM171">
        <v>0</v>
      </c>
      <c r="BN171">
        <v>0</v>
      </c>
      <c r="BO171" t="s">
        <v>3</v>
      </c>
      <c r="BP171">
        <v>0</v>
      </c>
      <c r="BQ171">
        <v>1</v>
      </c>
      <c r="BR171">
        <v>0</v>
      </c>
      <c r="BS171">
        <v>1</v>
      </c>
      <c r="BT171">
        <v>1</v>
      </c>
      <c r="BU171">
        <v>1</v>
      </c>
      <c r="BV171">
        <v>1</v>
      </c>
      <c r="BW171">
        <v>1</v>
      </c>
      <c r="BX171">
        <v>1</v>
      </c>
      <c r="BY171" t="s">
        <v>3</v>
      </c>
      <c r="BZ171">
        <v>70</v>
      </c>
      <c r="CA171">
        <v>10</v>
      </c>
      <c r="CB171" t="s">
        <v>3</v>
      </c>
      <c r="CE171">
        <v>0</v>
      </c>
      <c r="CF171">
        <v>0</v>
      </c>
      <c r="CG171">
        <v>0</v>
      </c>
      <c r="CM171">
        <v>0</v>
      </c>
      <c r="CN171" t="s">
        <v>3</v>
      </c>
      <c r="CO171">
        <v>0</v>
      </c>
      <c r="CP171">
        <f t="shared" ref="CP171:CP178" si="143">(P171+Q171+S171)</f>
        <v>105177.03000000001</v>
      </c>
      <c r="CQ171">
        <f t="shared" ref="CQ171:CQ178" si="144">(AC171*BC171*AW171)</f>
        <v>205.53</v>
      </c>
      <c r="CR171">
        <f>((((ET171)*BB171-(EU171)*BS171)+AE171*BS171)*AV171)</f>
        <v>0</v>
      </c>
      <c r="CS171">
        <f t="shared" ref="CS171:CS178" si="145">(AE171*BS171*AV171)</f>
        <v>0</v>
      </c>
      <c r="CT171">
        <f t="shared" ref="CT171:CT178" si="146">(AF171*BA171*AV171)</f>
        <v>14819.76</v>
      </c>
      <c r="CU171">
        <f t="shared" ref="CU171:CU178" si="147">AG171</f>
        <v>0</v>
      </c>
      <c r="CV171">
        <f t="shared" ref="CV171:CV178" si="148">(AH171*AV171)</f>
        <v>24</v>
      </c>
      <c r="CW171">
        <f t="shared" ref="CW171:CX178" si="149">AI171</f>
        <v>0</v>
      </c>
      <c r="CX171">
        <f t="shared" si="149"/>
        <v>0</v>
      </c>
      <c r="CY171">
        <f t="shared" ref="CY171:CY178" si="150">((S171*BZ171)/100)</f>
        <v>72616.824000000008</v>
      </c>
      <c r="CZ171">
        <f t="shared" ref="CZ171:CZ178" si="151">((S171*CA171)/100)</f>
        <v>10373.832</v>
      </c>
      <c r="DC171" t="s">
        <v>3</v>
      </c>
      <c r="DD171" t="s">
        <v>3</v>
      </c>
      <c r="DE171" t="s">
        <v>3</v>
      </c>
      <c r="DF171" t="s">
        <v>3</v>
      </c>
      <c r="DG171" t="s">
        <v>3</v>
      </c>
      <c r="DH171" t="s">
        <v>3</v>
      </c>
      <c r="DI171" t="s">
        <v>3</v>
      </c>
      <c r="DJ171" t="s">
        <v>3</v>
      </c>
      <c r="DK171" t="s">
        <v>3</v>
      </c>
      <c r="DL171" t="s">
        <v>3</v>
      </c>
      <c r="DM171" t="s">
        <v>3</v>
      </c>
      <c r="DN171">
        <v>0</v>
      </c>
      <c r="DO171">
        <v>0</v>
      </c>
      <c r="DP171">
        <v>1</v>
      </c>
      <c r="DQ171">
        <v>1</v>
      </c>
      <c r="DU171">
        <v>16987630</v>
      </c>
      <c r="DV171" t="s">
        <v>36</v>
      </c>
      <c r="DW171" t="s">
        <v>36</v>
      </c>
      <c r="DX171">
        <v>1</v>
      </c>
      <c r="DZ171" t="s">
        <v>3</v>
      </c>
      <c r="EA171" t="s">
        <v>3</v>
      </c>
      <c r="EB171" t="s">
        <v>3</v>
      </c>
      <c r="EC171" t="s">
        <v>3</v>
      </c>
      <c r="EE171">
        <v>1441815344</v>
      </c>
      <c r="EF171">
        <v>1</v>
      </c>
      <c r="EG171" t="s">
        <v>21</v>
      </c>
      <c r="EH171">
        <v>0</v>
      </c>
      <c r="EI171" t="s">
        <v>3</v>
      </c>
      <c r="EJ171">
        <v>4</v>
      </c>
      <c r="EK171">
        <v>0</v>
      </c>
      <c r="EL171" t="s">
        <v>22</v>
      </c>
      <c r="EM171" t="s">
        <v>23</v>
      </c>
      <c r="EO171" t="s">
        <v>3</v>
      </c>
      <c r="EQ171">
        <v>0</v>
      </c>
      <c r="ER171">
        <v>15025.29</v>
      </c>
      <c r="ES171">
        <v>205.53</v>
      </c>
      <c r="ET171">
        <v>0</v>
      </c>
      <c r="EU171">
        <v>0</v>
      </c>
      <c r="EV171">
        <v>14819.76</v>
      </c>
      <c r="EW171">
        <v>24</v>
      </c>
      <c r="EX171">
        <v>0</v>
      </c>
      <c r="EY171">
        <v>0</v>
      </c>
      <c r="FQ171">
        <v>0</v>
      </c>
      <c r="FR171">
        <f t="shared" ref="FR171:FR178" si="152">ROUND(IF(BI171=3,GM171,0),2)</f>
        <v>0</v>
      </c>
      <c r="FS171">
        <v>0</v>
      </c>
      <c r="FX171">
        <v>70</v>
      </c>
      <c r="FY171">
        <v>10</v>
      </c>
      <c r="GA171" t="s">
        <v>3</v>
      </c>
      <c r="GD171">
        <v>0</v>
      </c>
      <c r="GF171">
        <v>-222069508</v>
      </c>
      <c r="GG171">
        <v>2</v>
      </c>
      <c r="GH171">
        <v>1</v>
      </c>
      <c r="GI171">
        <v>-2</v>
      </c>
      <c r="GJ171">
        <v>0</v>
      </c>
      <c r="GK171">
        <f>ROUND(R171*(R12)/100,2)</f>
        <v>0</v>
      </c>
      <c r="GL171">
        <f t="shared" ref="GL171:GL178" si="153">ROUND(IF(AND(BH171=3,BI171=3,FS171&lt;&gt;0),P171,0),2)</f>
        <v>0</v>
      </c>
      <c r="GM171">
        <f t="shared" ref="GM171:GM178" si="154">ROUND(O171+X171+Y171+GK171,2)+GX171</f>
        <v>188167.67999999999</v>
      </c>
      <c r="GN171">
        <f t="shared" ref="GN171:GN178" si="155">IF(OR(BI171=0,BI171=1),GM171-GX171,0)</f>
        <v>0</v>
      </c>
      <c r="GO171">
        <f t="shared" ref="GO171:GO178" si="156">IF(BI171=2,GM171-GX171,0)</f>
        <v>0</v>
      </c>
      <c r="GP171">
        <f t="shared" ref="GP171:GP178" si="157">IF(BI171=4,GM171-GX171,0)</f>
        <v>188167.67999999999</v>
      </c>
      <c r="GR171">
        <v>0</v>
      </c>
      <c r="GS171">
        <v>3</v>
      </c>
      <c r="GT171">
        <v>0</v>
      </c>
      <c r="GU171" t="s">
        <v>3</v>
      </c>
      <c r="GV171">
        <f t="shared" ref="GV171:GV178" si="158">ROUND((GT171),6)</f>
        <v>0</v>
      </c>
      <c r="GW171">
        <v>1</v>
      </c>
      <c r="GX171">
        <f t="shared" ref="GX171:GX178" si="159">ROUND(HC171*I171,2)</f>
        <v>0</v>
      </c>
      <c r="HA171">
        <v>0</v>
      </c>
      <c r="HB171">
        <v>0</v>
      </c>
      <c r="HC171">
        <f t="shared" ref="HC171:HC178" si="160">GV171*GW171</f>
        <v>0</v>
      </c>
      <c r="HE171" t="s">
        <v>3</v>
      </c>
      <c r="HF171" t="s">
        <v>3</v>
      </c>
      <c r="HM171" t="s">
        <v>3</v>
      </c>
      <c r="HN171" t="s">
        <v>3</v>
      </c>
      <c r="HO171" t="s">
        <v>3</v>
      </c>
      <c r="HP171" t="s">
        <v>3</v>
      </c>
      <c r="HQ171" t="s">
        <v>3</v>
      </c>
      <c r="IK171">
        <v>0</v>
      </c>
    </row>
    <row r="172" spans="1:245" x14ac:dyDescent="0.2">
      <c r="A172">
        <v>17</v>
      </c>
      <c r="B172">
        <v>1</v>
      </c>
      <c r="D172">
        <f>ROW(EtalonRes!A77)</f>
        <v>77</v>
      </c>
      <c r="E172" t="s">
        <v>3</v>
      </c>
      <c r="F172" t="s">
        <v>202</v>
      </c>
      <c r="G172" t="s">
        <v>203</v>
      </c>
      <c r="H172" t="s">
        <v>36</v>
      </c>
      <c r="I172">
        <f>ROUND(1*7,9)</f>
        <v>7</v>
      </c>
      <c r="J172">
        <v>0</v>
      </c>
      <c r="K172">
        <f>ROUND(1*7,9)</f>
        <v>7</v>
      </c>
      <c r="O172">
        <f t="shared" si="130"/>
        <v>10389.33</v>
      </c>
      <c r="P172">
        <f t="shared" si="131"/>
        <v>15.54</v>
      </c>
      <c r="Q172">
        <f t="shared" si="132"/>
        <v>0</v>
      </c>
      <c r="R172">
        <f t="shared" si="133"/>
        <v>0</v>
      </c>
      <c r="S172">
        <f t="shared" si="134"/>
        <v>10373.790000000001</v>
      </c>
      <c r="T172">
        <f t="shared" si="135"/>
        <v>0</v>
      </c>
      <c r="U172">
        <f t="shared" si="136"/>
        <v>16.800000000000004</v>
      </c>
      <c r="V172">
        <f t="shared" si="137"/>
        <v>0</v>
      </c>
      <c r="W172">
        <f t="shared" si="138"/>
        <v>0</v>
      </c>
      <c r="X172">
        <f t="shared" si="139"/>
        <v>7261.65</v>
      </c>
      <c r="Y172">
        <f t="shared" si="139"/>
        <v>1037.3800000000001</v>
      </c>
      <c r="AA172">
        <v>-1</v>
      </c>
      <c r="AB172">
        <f t="shared" si="140"/>
        <v>1484.19</v>
      </c>
      <c r="AC172">
        <f>ROUND(((ES172*3)),6)</f>
        <v>2.2200000000000002</v>
      </c>
      <c r="AD172">
        <f>ROUND(((((ET172*3))-((EU172*3)))+AE172),6)</f>
        <v>0</v>
      </c>
      <c r="AE172">
        <f>ROUND(((EU172*3)),6)</f>
        <v>0</v>
      </c>
      <c r="AF172">
        <f>ROUND(((EV172*3)),6)</f>
        <v>1481.97</v>
      </c>
      <c r="AG172">
        <f t="shared" si="141"/>
        <v>0</v>
      </c>
      <c r="AH172">
        <f>((EW172*3))</f>
        <v>2.4000000000000004</v>
      </c>
      <c r="AI172">
        <f>((EX172*3))</f>
        <v>0</v>
      </c>
      <c r="AJ172">
        <f t="shared" si="142"/>
        <v>0</v>
      </c>
      <c r="AK172">
        <v>494.73</v>
      </c>
      <c r="AL172">
        <v>0.74</v>
      </c>
      <c r="AM172">
        <v>0</v>
      </c>
      <c r="AN172">
        <v>0</v>
      </c>
      <c r="AO172">
        <v>493.99</v>
      </c>
      <c r="AP172">
        <v>0</v>
      </c>
      <c r="AQ172">
        <v>0.8</v>
      </c>
      <c r="AR172">
        <v>0</v>
      </c>
      <c r="AS172">
        <v>0</v>
      </c>
      <c r="AT172">
        <v>70</v>
      </c>
      <c r="AU172">
        <v>10</v>
      </c>
      <c r="AV172">
        <v>1</v>
      </c>
      <c r="AW172">
        <v>1</v>
      </c>
      <c r="AZ172">
        <v>1</v>
      </c>
      <c r="BA172">
        <v>1</v>
      </c>
      <c r="BB172">
        <v>1</v>
      </c>
      <c r="BC172">
        <v>1</v>
      </c>
      <c r="BD172" t="s">
        <v>3</v>
      </c>
      <c r="BE172" t="s">
        <v>3</v>
      </c>
      <c r="BF172" t="s">
        <v>3</v>
      </c>
      <c r="BG172" t="s">
        <v>3</v>
      </c>
      <c r="BH172">
        <v>0</v>
      </c>
      <c r="BI172">
        <v>4</v>
      </c>
      <c r="BJ172" t="s">
        <v>204</v>
      </c>
      <c r="BM172">
        <v>0</v>
      </c>
      <c r="BN172">
        <v>0</v>
      </c>
      <c r="BO172" t="s">
        <v>3</v>
      </c>
      <c r="BP172">
        <v>0</v>
      </c>
      <c r="BQ172">
        <v>1</v>
      </c>
      <c r="BR172">
        <v>0</v>
      </c>
      <c r="BS172">
        <v>1</v>
      </c>
      <c r="BT172">
        <v>1</v>
      </c>
      <c r="BU172">
        <v>1</v>
      </c>
      <c r="BV172">
        <v>1</v>
      </c>
      <c r="BW172">
        <v>1</v>
      </c>
      <c r="BX172">
        <v>1</v>
      </c>
      <c r="BY172" t="s">
        <v>3</v>
      </c>
      <c r="BZ172">
        <v>70</v>
      </c>
      <c r="CA172">
        <v>10</v>
      </c>
      <c r="CB172" t="s">
        <v>3</v>
      </c>
      <c r="CE172">
        <v>0</v>
      </c>
      <c r="CF172">
        <v>0</v>
      </c>
      <c r="CG172">
        <v>0</v>
      </c>
      <c r="CM172">
        <v>0</v>
      </c>
      <c r="CN172" t="s">
        <v>3</v>
      </c>
      <c r="CO172">
        <v>0</v>
      </c>
      <c r="CP172">
        <f t="shared" si="143"/>
        <v>10389.330000000002</v>
      </c>
      <c r="CQ172">
        <f t="shared" si="144"/>
        <v>2.2200000000000002</v>
      </c>
      <c r="CR172">
        <f>(((((ET172*3))*BB172-((EU172*3))*BS172)+AE172*BS172)*AV172)</f>
        <v>0</v>
      </c>
      <c r="CS172">
        <f t="shared" si="145"/>
        <v>0</v>
      </c>
      <c r="CT172">
        <f t="shared" si="146"/>
        <v>1481.97</v>
      </c>
      <c r="CU172">
        <f t="shared" si="147"/>
        <v>0</v>
      </c>
      <c r="CV172">
        <f t="shared" si="148"/>
        <v>2.4000000000000004</v>
      </c>
      <c r="CW172">
        <f t="shared" si="149"/>
        <v>0</v>
      </c>
      <c r="CX172">
        <f t="shared" si="149"/>
        <v>0</v>
      </c>
      <c r="CY172">
        <f t="shared" si="150"/>
        <v>7261.6530000000002</v>
      </c>
      <c r="CZ172">
        <f t="shared" si="151"/>
        <v>1037.3790000000001</v>
      </c>
      <c r="DC172" t="s">
        <v>3</v>
      </c>
      <c r="DD172" t="s">
        <v>163</v>
      </c>
      <c r="DE172" t="s">
        <v>163</v>
      </c>
      <c r="DF172" t="s">
        <v>163</v>
      </c>
      <c r="DG172" t="s">
        <v>163</v>
      </c>
      <c r="DH172" t="s">
        <v>3</v>
      </c>
      <c r="DI172" t="s">
        <v>163</v>
      </c>
      <c r="DJ172" t="s">
        <v>163</v>
      </c>
      <c r="DK172" t="s">
        <v>3</v>
      </c>
      <c r="DL172" t="s">
        <v>3</v>
      </c>
      <c r="DM172" t="s">
        <v>3</v>
      </c>
      <c r="DN172">
        <v>0</v>
      </c>
      <c r="DO172">
        <v>0</v>
      </c>
      <c r="DP172">
        <v>1</v>
      </c>
      <c r="DQ172">
        <v>1</v>
      </c>
      <c r="DU172">
        <v>16987630</v>
      </c>
      <c r="DV172" t="s">
        <v>36</v>
      </c>
      <c r="DW172" t="s">
        <v>36</v>
      </c>
      <c r="DX172">
        <v>1</v>
      </c>
      <c r="DZ172" t="s">
        <v>3</v>
      </c>
      <c r="EA172" t="s">
        <v>3</v>
      </c>
      <c r="EB172" t="s">
        <v>3</v>
      </c>
      <c r="EC172" t="s">
        <v>3</v>
      </c>
      <c r="EE172">
        <v>1441815344</v>
      </c>
      <c r="EF172">
        <v>1</v>
      </c>
      <c r="EG172" t="s">
        <v>21</v>
      </c>
      <c r="EH172">
        <v>0</v>
      </c>
      <c r="EI172" t="s">
        <v>3</v>
      </c>
      <c r="EJ172">
        <v>4</v>
      </c>
      <c r="EK172">
        <v>0</v>
      </c>
      <c r="EL172" t="s">
        <v>22</v>
      </c>
      <c r="EM172" t="s">
        <v>23</v>
      </c>
      <c r="EO172" t="s">
        <v>3</v>
      </c>
      <c r="EQ172">
        <v>1024</v>
      </c>
      <c r="ER172">
        <v>494.73</v>
      </c>
      <c r="ES172">
        <v>0.74</v>
      </c>
      <c r="ET172">
        <v>0</v>
      </c>
      <c r="EU172">
        <v>0</v>
      </c>
      <c r="EV172">
        <v>493.99</v>
      </c>
      <c r="EW172">
        <v>0.8</v>
      </c>
      <c r="EX172">
        <v>0</v>
      </c>
      <c r="EY172">
        <v>0</v>
      </c>
      <c r="FQ172">
        <v>0</v>
      </c>
      <c r="FR172">
        <f t="shared" si="152"/>
        <v>0</v>
      </c>
      <c r="FS172">
        <v>0</v>
      </c>
      <c r="FX172">
        <v>70</v>
      </c>
      <c r="FY172">
        <v>10</v>
      </c>
      <c r="GA172" t="s">
        <v>3</v>
      </c>
      <c r="GD172">
        <v>0</v>
      </c>
      <c r="GF172">
        <v>1734340990</v>
      </c>
      <c r="GG172">
        <v>2</v>
      </c>
      <c r="GH172">
        <v>1</v>
      </c>
      <c r="GI172">
        <v>-2</v>
      </c>
      <c r="GJ172">
        <v>0</v>
      </c>
      <c r="GK172">
        <f>ROUND(R172*(R12)/100,2)</f>
        <v>0</v>
      </c>
      <c r="GL172">
        <f t="shared" si="153"/>
        <v>0</v>
      </c>
      <c r="GM172">
        <f t="shared" si="154"/>
        <v>18688.36</v>
      </c>
      <c r="GN172">
        <f t="shared" si="155"/>
        <v>0</v>
      </c>
      <c r="GO172">
        <f t="shared" si="156"/>
        <v>0</v>
      </c>
      <c r="GP172">
        <f t="shared" si="157"/>
        <v>18688.36</v>
      </c>
      <c r="GR172">
        <v>0</v>
      </c>
      <c r="GS172">
        <v>3</v>
      </c>
      <c r="GT172">
        <v>0</v>
      </c>
      <c r="GU172" t="s">
        <v>3</v>
      </c>
      <c r="GV172">
        <f t="shared" si="158"/>
        <v>0</v>
      </c>
      <c r="GW172">
        <v>1</v>
      </c>
      <c r="GX172">
        <f t="shared" si="159"/>
        <v>0</v>
      </c>
      <c r="HA172">
        <v>0</v>
      </c>
      <c r="HB172">
        <v>0</v>
      </c>
      <c r="HC172">
        <f t="shared" si="160"/>
        <v>0</v>
      </c>
      <c r="HE172" t="s">
        <v>3</v>
      </c>
      <c r="HF172" t="s">
        <v>3</v>
      </c>
      <c r="HM172" t="s">
        <v>3</v>
      </c>
      <c r="HN172" t="s">
        <v>3</v>
      </c>
      <c r="HO172" t="s">
        <v>3</v>
      </c>
      <c r="HP172" t="s">
        <v>3</v>
      </c>
      <c r="HQ172" t="s">
        <v>3</v>
      </c>
      <c r="IK172">
        <v>0</v>
      </c>
    </row>
    <row r="173" spans="1:245" x14ac:dyDescent="0.2">
      <c r="A173">
        <v>17</v>
      </c>
      <c r="B173">
        <v>1</v>
      </c>
      <c r="D173">
        <f>ROW(EtalonRes!A78)</f>
        <v>78</v>
      </c>
      <c r="E173" t="s">
        <v>3</v>
      </c>
      <c r="F173" t="s">
        <v>205</v>
      </c>
      <c r="G173" t="s">
        <v>206</v>
      </c>
      <c r="H173" t="s">
        <v>36</v>
      </c>
      <c r="I173">
        <f>ROUND(1*7,9)</f>
        <v>7</v>
      </c>
      <c r="J173">
        <v>0</v>
      </c>
      <c r="K173">
        <f>ROUND(1*7,9)</f>
        <v>7</v>
      </c>
      <c r="O173">
        <f t="shared" si="130"/>
        <v>648.27</v>
      </c>
      <c r="P173">
        <f t="shared" si="131"/>
        <v>0</v>
      </c>
      <c r="Q173">
        <f t="shared" si="132"/>
        <v>0</v>
      </c>
      <c r="R173">
        <f t="shared" si="133"/>
        <v>0</v>
      </c>
      <c r="S173">
        <f t="shared" si="134"/>
        <v>648.27</v>
      </c>
      <c r="T173">
        <f t="shared" si="135"/>
        <v>0</v>
      </c>
      <c r="U173">
        <f t="shared" si="136"/>
        <v>1.0500000000000003</v>
      </c>
      <c r="V173">
        <f t="shared" si="137"/>
        <v>0</v>
      </c>
      <c r="W173">
        <f t="shared" si="138"/>
        <v>0</v>
      </c>
      <c r="X173">
        <f t="shared" si="139"/>
        <v>453.79</v>
      </c>
      <c r="Y173">
        <f t="shared" si="139"/>
        <v>64.83</v>
      </c>
      <c r="AA173">
        <v>-1</v>
      </c>
      <c r="AB173">
        <f t="shared" si="140"/>
        <v>92.61</v>
      </c>
      <c r="AC173">
        <f>ROUND(((ES173*3)),6)</f>
        <v>0</v>
      </c>
      <c r="AD173">
        <f>ROUND(((((ET173*3))-((EU173*3)))+AE173),6)</f>
        <v>0</v>
      </c>
      <c r="AE173">
        <f>ROUND(((EU173*3)),6)</f>
        <v>0</v>
      </c>
      <c r="AF173">
        <f>ROUND(((EV173*3)),6)</f>
        <v>92.61</v>
      </c>
      <c r="AG173">
        <f t="shared" si="141"/>
        <v>0</v>
      </c>
      <c r="AH173">
        <f>((EW173*3))</f>
        <v>0.15000000000000002</v>
      </c>
      <c r="AI173">
        <f>((EX173*3))</f>
        <v>0</v>
      </c>
      <c r="AJ173">
        <f t="shared" si="142"/>
        <v>0</v>
      </c>
      <c r="AK173">
        <v>30.87</v>
      </c>
      <c r="AL173">
        <v>0</v>
      </c>
      <c r="AM173">
        <v>0</v>
      </c>
      <c r="AN173">
        <v>0</v>
      </c>
      <c r="AO173">
        <v>30.87</v>
      </c>
      <c r="AP173">
        <v>0</v>
      </c>
      <c r="AQ173">
        <v>0.05</v>
      </c>
      <c r="AR173">
        <v>0</v>
      </c>
      <c r="AS173">
        <v>0</v>
      </c>
      <c r="AT173">
        <v>70</v>
      </c>
      <c r="AU173">
        <v>10</v>
      </c>
      <c r="AV173">
        <v>1</v>
      </c>
      <c r="AW173">
        <v>1</v>
      </c>
      <c r="AZ173">
        <v>1</v>
      </c>
      <c r="BA173">
        <v>1</v>
      </c>
      <c r="BB173">
        <v>1</v>
      </c>
      <c r="BC173">
        <v>1</v>
      </c>
      <c r="BD173" t="s">
        <v>3</v>
      </c>
      <c r="BE173" t="s">
        <v>3</v>
      </c>
      <c r="BF173" t="s">
        <v>3</v>
      </c>
      <c r="BG173" t="s">
        <v>3</v>
      </c>
      <c r="BH173">
        <v>0</v>
      </c>
      <c r="BI173">
        <v>4</v>
      </c>
      <c r="BJ173" t="s">
        <v>207</v>
      </c>
      <c r="BM173">
        <v>0</v>
      </c>
      <c r="BN173">
        <v>0</v>
      </c>
      <c r="BO173" t="s">
        <v>3</v>
      </c>
      <c r="BP173">
        <v>0</v>
      </c>
      <c r="BQ173">
        <v>1</v>
      </c>
      <c r="BR173">
        <v>0</v>
      </c>
      <c r="BS173">
        <v>1</v>
      </c>
      <c r="BT173">
        <v>1</v>
      </c>
      <c r="BU173">
        <v>1</v>
      </c>
      <c r="BV173">
        <v>1</v>
      </c>
      <c r="BW173">
        <v>1</v>
      </c>
      <c r="BX173">
        <v>1</v>
      </c>
      <c r="BY173" t="s">
        <v>3</v>
      </c>
      <c r="BZ173">
        <v>70</v>
      </c>
      <c r="CA173">
        <v>10</v>
      </c>
      <c r="CB173" t="s">
        <v>3</v>
      </c>
      <c r="CE173">
        <v>0</v>
      </c>
      <c r="CF173">
        <v>0</v>
      </c>
      <c r="CG173">
        <v>0</v>
      </c>
      <c r="CM173">
        <v>0</v>
      </c>
      <c r="CN173" t="s">
        <v>3</v>
      </c>
      <c r="CO173">
        <v>0</v>
      </c>
      <c r="CP173">
        <f t="shared" si="143"/>
        <v>648.27</v>
      </c>
      <c r="CQ173">
        <f t="shared" si="144"/>
        <v>0</v>
      </c>
      <c r="CR173">
        <f>(((((ET173*3))*BB173-((EU173*3))*BS173)+AE173*BS173)*AV173)</f>
        <v>0</v>
      </c>
      <c r="CS173">
        <f t="shared" si="145"/>
        <v>0</v>
      </c>
      <c r="CT173">
        <f t="shared" si="146"/>
        <v>92.61</v>
      </c>
      <c r="CU173">
        <f t="shared" si="147"/>
        <v>0</v>
      </c>
      <c r="CV173">
        <f t="shared" si="148"/>
        <v>0.15000000000000002</v>
      </c>
      <c r="CW173">
        <f t="shared" si="149"/>
        <v>0</v>
      </c>
      <c r="CX173">
        <f t="shared" si="149"/>
        <v>0</v>
      </c>
      <c r="CY173">
        <f t="shared" si="150"/>
        <v>453.78899999999999</v>
      </c>
      <c r="CZ173">
        <f t="shared" si="151"/>
        <v>64.826999999999998</v>
      </c>
      <c r="DC173" t="s">
        <v>3</v>
      </c>
      <c r="DD173" t="s">
        <v>163</v>
      </c>
      <c r="DE173" t="s">
        <v>163</v>
      </c>
      <c r="DF173" t="s">
        <v>163</v>
      </c>
      <c r="DG173" t="s">
        <v>163</v>
      </c>
      <c r="DH173" t="s">
        <v>3</v>
      </c>
      <c r="DI173" t="s">
        <v>163</v>
      </c>
      <c r="DJ173" t="s">
        <v>163</v>
      </c>
      <c r="DK173" t="s">
        <v>3</v>
      </c>
      <c r="DL173" t="s">
        <v>3</v>
      </c>
      <c r="DM173" t="s">
        <v>3</v>
      </c>
      <c r="DN173">
        <v>0</v>
      </c>
      <c r="DO173">
        <v>0</v>
      </c>
      <c r="DP173">
        <v>1</v>
      </c>
      <c r="DQ173">
        <v>1</v>
      </c>
      <c r="DU173">
        <v>16987630</v>
      </c>
      <c r="DV173" t="s">
        <v>36</v>
      </c>
      <c r="DW173" t="s">
        <v>36</v>
      </c>
      <c r="DX173">
        <v>1</v>
      </c>
      <c r="DZ173" t="s">
        <v>3</v>
      </c>
      <c r="EA173" t="s">
        <v>3</v>
      </c>
      <c r="EB173" t="s">
        <v>3</v>
      </c>
      <c r="EC173" t="s">
        <v>3</v>
      </c>
      <c r="EE173">
        <v>1441815344</v>
      </c>
      <c r="EF173">
        <v>1</v>
      </c>
      <c r="EG173" t="s">
        <v>21</v>
      </c>
      <c r="EH173">
        <v>0</v>
      </c>
      <c r="EI173" t="s">
        <v>3</v>
      </c>
      <c r="EJ173">
        <v>4</v>
      </c>
      <c r="EK173">
        <v>0</v>
      </c>
      <c r="EL173" t="s">
        <v>22</v>
      </c>
      <c r="EM173" t="s">
        <v>23</v>
      </c>
      <c r="EO173" t="s">
        <v>3</v>
      </c>
      <c r="EQ173">
        <v>1024</v>
      </c>
      <c r="ER173">
        <v>30.87</v>
      </c>
      <c r="ES173">
        <v>0</v>
      </c>
      <c r="ET173">
        <v>0</v>
      </c>
      <c r="EU173">
        <v>0</v>
      </c>
      <c r="EV173">
        <v>30.87</v>
      </c>
      <c r="EW173">
        <v>0.05</v>
      </c>
      <c r="EX173">
        <v>0</v>
      </c>
      <c r="EY173">
        <v>0</v>
      </c>
      <c r="FQ173">
        <v>0</v>
      </c>
      <c r="FR173">
        <f t="shared" si="152"/>
        <v>0</v>
      </c>
      <c r="FS173">
        <v>0</v>
      </c>
      <c r="FX173">
        <v>70</v>
      </c>
      <c r="FY173">
        <v>10</v>
      </c>
      <c r="GA173" t="s">
        <v>3</v>
      </c>
      <c r="GD173">
        <v>0</v>
      </c>
      <c r="GF173">
        <v>-1853716414</v>
      </c>
      <c r="GG173">
        <v>2</v>
      </c>
      <c r="GH173">
        <v>1</v>
      </c>
      <c r="GI173">
        <v>-2</v>
      </c>
      <c r="GJ173">
        <v>0</v>
      </c>
      <c r="GK173">
        <f>ROUND(R173*(R12)/100,2)</f>
        <v>0</v>
      </c>
      <c r="GL173">
        <f t="shared" si="153"/>
        <v>0</v>
      </c>
      <c r="GM173">
        <f t="shared" si="154"/>
        <v>1166.8900000000001</v>
      </c>
      <c r="GN173">
        <f t="shared" si="155"/>
        <v>0</v>
      </c>
      <c r="GO173">
        <f t="shared" si="156"/>
        <v>0</v>
      </c>
      <c r="GP173">
        <f t="shared" si="157"/>
        <v>1166.8900000000001</v>
      </c>
      <c r="GR173">
        <v>0</v>
      </c>
      <c r="GS173">
        <v>3</v>
      </c>
      <c r="GT173">
        <v>0</v>
      </c>
      <c r="GU173" t="s">
        <v>3</v>
      </c>
      <c r="GV173">
        <f t="shared" si="158"/>
        <v>0</v>
      </c>
      <c r="GW173">
        <v>1</v>
      </c>
      <c r="GX173">
        <f t="shared" si="159"/>
        <v>0</v>
      </c>
      <c r="HA173">
        <v>0</v>
      </c>
      <c r="HB173">
        <v>0</v>
      </c>
      <c r="HC173">
        <f t="shared" si="160"/>
        <v>0</v>
      </c>
      <c r="HE173" t="s">
        <v>3</v>
      </c>
      <c r="HF173" t="s">
        <v>3</v>
      </c>
      <c r="HM173" t="s">
        <v>3</v>
      </c>
      <c r="HN173" t="s">
        <v>3</v>
      </c>
      <c r="HO173" t="s">
        <v>3</v>
      </c>
      <c r="HP173" t="s">
        <v>3</v>
      </c>
      <c r="HQ173" t="s">
        <v>3</v>
      </c>
      <c r="IK173">
        <v>0</v>
      </c>
    </row>
    <row r="174" spans="1:245" x14ac:dyDescent="0.2">
      <c r="A174">
        <v>17</v>
      </c>
      <c r="B174">
        <v>1</v>
      </c>
      <c r="D174">
        <f>ROW(EtalonRes!A84)</f>
        <v>84</v>
      </c>
      <c r="E174" t="s">
        <v>208</v>
      </c>
      <c r="F174" t="s">
        <v>209</v>
      </c>
      <c r="G174" t="s">
        <v>210</v>
      </c>
      <c r="H174" t="s">
        <v>36</v>
      </c>
      <c r="I174">
        <f>ROUND(1*7,9)</f>
        <v>7</v>
      </c>
      <c r="J174">
        <v>0</v>
      </c>
      <c r="K174">
        <f>ROUND(1*7,9)</f>
        <v>7</v>
      </c>
      <c r="O174">
        <f t="shared" si="130"/>
        <v>6570.34</v>
      </c>
      <c r="P174">
        <f t="shared" si="131"/>
        <v>86.73</v>
      </c>
      <c r="Q174">
        <f t="shared" si="132"/>
        <v>0</v>
      </c>
      <c r="R174">
        <f t="shared" si="133"/>
        <v>0</v>
      </c>
      <c r="S174">
        <f t="shared" si="134"/>
        <v>6483.61</v>
      </c>
      <c r="T174">
        <f t="shared" si="135"/>
        <v>0</v>
      </c>
      <c r="U174">
        <f t="shared" si="136"/>
        <v>10.5</v>
      </c>
      <c r="V174">
        <f t="shared" si="137"/>
        <v>0</v>
      </c>
      <c r="W174">
        <f t="shared" si="138"/>
        <v>0</v>
      </c>
      <c r="X174">
        <f t="shared" si="139"/>
        <v>4538.53</v>
      </c>
      <c r="Y174">
        <f t="shared" si="139"/>
        <v>648.36</v>
      </c>
      <c r="AA174">
        <v>1471718271</v>
      </c>
      <c r="AB174">
        <f t="shared" si="140"/>
        <v>938.62</v>
      </c>
      <c r="AC174">
        <f>ROUND((ES174),6)</f>
        <v>12.39</v>
      </c>
      <c r="AD174">
        <f>ROUND((((ET174)-(EU174))+AE174),6)</f>
        <v>0</v>
      </c>
      <c r="AE174">
        <f>ROUND((EU174),6)</f>
        <v>0</v>
      </c>
      <c r="AF174">
        <f>ROUND((EV174),6)</f>
        <v>926.23</v>
      </c>
      <c r="AG174">
        <f t="shared" si="141"/>
        <v>0</v>
      </c>
      <c r="AH174">
        <f>(EW174)</f>
        <v>1.5</v>
      </c>
      <c r="AI174">
        <f>(EX174)</f>
        <v>0</v>
      </c>
      <c r="AJ174">
        <f t="shared" si="142"/>
        <v>0</v>
      </c>
      <c r="AK174">
        <v>938.62</v>
      </c>
      <c r="AL174">
        <v>12.39</v>
      </c>
      <c r="AM174">
        <v>0</v>
      </c>
      <c r="AN174">
        <v>0</v>
      </c>
      <c r="AO174">
        <v>926.23</v>
      </c>
      <c r="AP174">
        <v>0</v>
      </c>
      <c r="AQ174">
        <v>1.5</v>
      </c>
      <c r="AR174">
        <v>0</v>
      </c>
      <c r="AS174">
        <v>0</v>
      </c>
      <c r="AT174">
        <v>70</v>
      </c>
      <c r="AU174">
        <v>10</v>
      </c>
      <c r="AV174">
        <v>1</v>
      </c>
      <c r="AW174">
        <v>1</v>
      </c>
      <c r="AZ174">
        <v>1</v>
      </c>
      <c r="BA174">
        <v>1</v>
      </c>
      <c r="BB174">
        <v>1</v>
      </c>
      <c r="BC174">
        <v>1</v>
      </c>
      <c r="BD174" t="s">
        <v>3</v>
      </c>
      <c r="BE174" t="s">
        <v>3</v>
      </c>
      <c r="BF174" t="s">
        <v>3</v>
      </c>
      <c r="BG174" t="s">
        <v>3</v>
      </c>
      <c r="BH174">
        <v>0</v>
      </c>
      <c r="BI174">
        <v>4</v>
      </c>
      <c r="BJ174" t="s">
        <v>211</v>
      </c>
      <c r="BM174">
        <v>0</v>
      </c>
      <c r="BN174">
        <v>0</v>
      </c>
      <c r="BO174" t="s">
        <v>3</v>
      </c>
      <c r="BP174">
        <v>0</v>
      </c>
      <c r="BQ174">
        <v>1</v>
      </c>
      <c r="BR174">
        <v>0</v>
      </c>
      <c r="BS174">
        <v>1</v>
      </c>
      <c r="BT174">
        <v>1</v>
      </c>
      <c r="BU174">
        <v>1</v>
      </c>
      <c r="BV174">
        <v>1</v>
      </c>
      <c r="BW174">
        <v>1</v>
      </c>
      <c r="BX174">
        <v>1</v>
      </c>
      <c r="BY174" t="s">
        <v>3</v>
      </c>
      <c r="BZ174">
        <v>70</v>
      </c>
      <c r="CA174">
        <v>10</v>
      </c>
      <c r="CB174" t="s">
        <v>3</v>
      </c>
      <c r="CE174">
        <v>0</v>
      </c>
      <c r="CF174">
        <v>0</v>
      </c>
      <c r="CG174">
        <v>0</v>
      </c>
      <c r="CM174">
        <v>0</v>
      </c>
      <c r="CN174" t="s">
        <v>3</v>
      </c>
      <c r="CO174">
        <v>0</v>
      </c>
      <c r="CP174">
        <f t="shared" si="143"/>
        <v>6570.3399999999992</v>
      </c>
      <c r="CQ174">
        <f t="shared" si="144"/>
        <v>12.39</v>
      </c>
      <c r="CR174">
        <f>((((ET174)*BB174-(EU174)*BS174)+AE174*BS174)*AV174)</f>
        <v>0</v>
      </c>
      <c r="CS174">
        <f t="shared" si="145"/>
        <v>0</v>
      </c>
      <c r="CT174">
        <f t="shared" si="146"/>
        <v>926.23</v>
      </c>
      <c r="CU174">
        <f t="shared" si="147"/>
        <v>0</v>
      </c>
      <c r="CV174">
        <f t="shared" si="148"/>
        <v>1.5</v>
      </c>
      <c r="CW174">
        <f t="shared" si="149"/>
        <v>0</v>
      </c>
      <c r="CX174">
        <f t="shared" si="149"/>
        <v>0</v>
      </c>
      <c r="CY174">
        <f t="shared" si="150"/>
        <v>4538.5269999999991</v>
      </c>
      <c r="CZ174">
        <f t="shared" si="151"/>
        <v>648.36099999999999</v>
      </c>
      <c r="DC174" t="s">
        <v>3</v>
      </c>
      <c r="DD174" t="s">
        <v>3</v>
      </c>
      <c r="DE174" t="s">
        <v>3</v>
      </c>
      <c r="DF174" t="s">
        <v>3</v>
      </c>
      <c r="DG174" t="s">
        <v>3</v>
      </c>
      <c r="DH174" t="s">
        <v>3</v>
      </c>
      <c r="DI174" t="s">
        <v>3</v>
      </c>
      <c r="DJ174" t="s">
        <v>3</v>
      </c>
      <c r="DK174" t="s">
        <v>3</v>
      </c>
      <c r="DL174" t="s">
        <v>3</v>
      </c>
      <c r="DM174" t="s">
        <v>3</v>
      </c>
      <c r="DN174">
        <v>0</v>
      </c>
      <c r="DO174">
        <v>0</v>
      </c>
      <c r="DP174">
        <v>1</v>
      </c>
      <c r="DQ174">
        <v>1</v>
      </c>
      <c r="DU174">
        <v>16987630</v>
      </c>
      <c r="DV174" t="s">
        <v>36</v>
      </c>
      <c r="DW174" t="s">
        <v>36</v>
      </c>
      <c r="DX174">
        <v>1</v>
      </c>
      <c r="DZ174" t="s">
        <v>3</v>
      </c>
      <c r="EA174" t="s">
        <v>3</v>
      </c>
      <c r="EB174" t="s">
        <v>3</v>
      </c>
      <c r="EC174" t="s">
        <v>3</v>
      </c>
      <c r="EE174">
        <v>1441815344</v>
      </c>
      <c r="EF174">
        <v>1</v>
      </c>
      <c r="EG174" t="s">
        <v>21</v>
      </c>
      <c r="EH174">
        <v>0</v>
      </c>
      <c r="EI174" t="s">
        <v>3</v>
      </c>
      <c r="EJ174">
        <v>4</v>
      </c>
      <c r="EK174">
        <v>0</v>
      </c>
      <c r="EL174" t="s">
        <v>22</v>
      </c>
      <c r="EM174" t="s">
        <v>23</v>
      </c>
      <c r="EO174" t="s">
        <v>3</v>
      </c>
      <c r="EQ174">
        <v>0</v>
      </c>
      <c r="ER174">
        <v>938.62</v>
      </c>
      <c r="ES174">
        <v>12.39</v>
      </c>
      <c r="ET174">
        <v>0</v>
      </c>
      <c r="EU174">
        <v>0</v>
      </c>
      <c r="EV174">
        <v>926.23</v>
      </c>
      <c r="EW174">
        <v>1.5</v>
      </c>
      <c r="EX174">
        <v>0</v>
      </c>
      <c r="EY174">
        <v>0</v>
      </c>
      <c r="FQ174">
        <v>0</v>
      </c>
      <c r="FR174">
        <f t="shared" si="152"/>
        <v>0</v>
      </c>
      <c r="FS174">
        <v>0</v>
      </c>
      <c r="FX174">
        <v>70</v>
      </c>
      <c r="FY174">
        <v>10</v>
      </c>
      <c r="GA174" t="s">
        <v>3</v>
      </c>
      <c r="GD174">
        <v>0</v>
      </c>
      <c r="GF174">
        <v>1939324865</v>
      </c>
      <c r="GG174">
        <v>2</v>
      </c>
      <c r="GH174">
        <v>1</v>
      </c>
      <c r="GI174">
        <v>-2</v>
      </c>
      <c r="GJ174">
        <v>0</v>
      </c>
      <c r="GK174">
        <f>ROUND(R174*(R12)/100,2)</f>
        <v>0</v>
      </c>
      <c r="GL174">
        <f t="shared" si="153"/>
        <v>0</v>
      </c>
      <c r="GM174">
        <f t="shared" si="154"/>
        <v>11757.23</v>
      </c>
      <c r="GN174">
        <f t="shared" si="155"/>
        <v>0</v>
      </c>
      <c r="GO174">
        <f t="shared" si="156"/>
        <v>0</v>
      </c>
      <c r="GP174">
        <f t="shared" si="157"/>
        <v>11757.23</v>
      </c>
      <c r="GR174">
        <v>0</v>
      </c>
      <c r="GS174">
        <v>3</v>
      </c>
      <c r="GT174">
        <v>0</v>
      </c>
      <c r="GU174" t="s">
        <v>3</v>
      </c>
      <c r="GV174">
        <f t="shared" si="158"/>
        <v>0</v>
      </c>
      <c r="GW174">
        <v>1</v>
      </c>
      <c r="GX174">
        <f t="shared" si="159"/>
        <v>0</v>
      </c>
      <c r="HA174">
        <v>0</v>
      </c>
      <c r="HB174">
        <v>0</v>
      </c>
      <c r="HC174">
        <f t="shared" si="160"/>
        <v>0</v>
      </c>
      <c r="HE174" t="s">
        <v>3</v>
      </c>
      <c r="HF174" t="s">
        <v>3</v>
      </c>
      <c r="HM174" t="s">
        <v>3</v>
      </c>
      <c r="HN174" t="s">
        <v>3</v>
      </c>
      <c r="HO174" t="s">
        <v>3</v>
      </c>
      <c r="HP174" t="s">
        <v>3</v>
      </c>
      <c r="HQ174" t="s">
        <v>3</v>
      </c>
      <c r="IK174">
        <v>0</v>
      </c>
    </row>
    <row r="175" spans="1:245" x14ac:dyDescent="0.2">
      <c r="A175">
        <v>17</v>
      </c>
      <c r="B175">
        <v>1</v>
      </c>
      <c r="D175">
        <f>ROW(EtalonRes!A87)</f>
        <v>87</v>
      </c>
      <c r="E175" t="s">
        <v>212</v>
      </c>
      <c r="F175" t="s">
        <v>213</v>
      </c>
      <c r="G175" t="s">
        <v>214</v>
      </c>
      <c r="H175" t="s">
        <v>36</v>
      </c>
      <c r="I175">
        <f>ROUND(1*7,9)</f>
        <v>7</v>
      </c>
      <c r="J175">
        <v>0</v>
      </c>
      <c r="K175">
        <f>ROUND(1*7,9)</f>
        <v>7</v>
      </c>
      <c r="O175">
        <f t="shared" si="130"/>
        <v>3044.02</v>
      </c>
      <c r="P175">
        <f t="shared" si="131"/>
        <v>63.42</v>
      </c>
      <c r="Q175">
        <f t="shared" si="132"/>
        <v>0</v>
      </c>
      <c r="R175">
        <f t="shared" si="133"/>
        <v>0</v>
      </c>
      <c r="S175">
        <f t="shared" si="134"/>
        <v>2980.6</v>
      </c>
      <c r="T175">
        <f t="shared" si="135"/>
        <v>0</v>
      </c>
      <c r="U175">
        <f t="shared" si="136"/>
        <v>4.2</v>
      </c>
      <c r="V175">
        <f t="shared" si="137"/>
        <v>0</v>
      </c>
      <c r="W175">
        <f t="shared" si="138"/>
        <v>0</v>
      </c>
      <c r="X175">
        <f t="shared" si="139"/>
        <v>2086.42</v>
      </c>
      <c r="Y175">
        <f t="shared" si="139"/>
        <v>298.06</v>
      </c>
      <c r="AA175">
        <v>1471718271</v>
      </c>
      <c r="AB175">
        <f t="shared" si="140"/>
        <v>434.86</v>
      </c>
      <c r="AC175">
        <f>ROUND(((ES175*2)),6)</f>
        <v>9.06</v>
      </c>
      <c r="AD175">
        <f>ROUND(((((ET175*2))-((EU175*2)))+AE175),6)</f>
        <v>0</v>
      </c>
      <c r="AE175">
        <f>ROUND(((EU175*2)),6)</f>
        <v>0</v>
      </c>
      <c r="AF175">
        <f>ROUND(((EV175*2)),6)</f>
        <v>425.8</v>
      </c>
      <c r="AG175">
        <f t="shared" si="141"/>
        <v>0</v>
      </c>
      <c r="AH175">
        <f>((EW175*2))</f>
        <v>0.6</v>
      </c>
      <c r="AI175">
        <f>((EX175*2))</f>
        <v>0</v>
      </c>
      <c r="AJ175">
        <f t="shared" si="142"/>
        <v>0</v>
      </c>
      <c r="AK175">
        <v>217.43</v>
      </c>
      <c r="AL175">
        <v>4.53</v>
      </c>
      <c r="AM175">
        <v>0</v>
      </c>
      <c r="AN175">
        <v>0</v>
      </c>
      <c r="AO175">
        <v>212.9</v>
      </c>
      <c r="AP175">
        <v>0</v>
      </c>
      <c r="AQ175">
        <v>0.3</v>
      </c>
      <c r="AR175">
        <v>0</v>
      </c>
      <c r="AS175">
        <v>0</v>
      </c>
      <c r="AT175">
        <v>70</v>
      </c>
      <c r="AU175">
        <v>10</v>
      </c>
      <c r="AV175">
        <v>1</v>
      </c>
      <c r="AW175">
        <v>1</v>
      </c>
      <c r="AZ175">
        <v>1</v>
      </c>
      <c r="BA175">
        <v>1</v>
      </c>
      <c r="BB175">
        <v>1</v>
      </c>
      <c r="BC175">
        <v>1</v>
      </c>
      <c r="BD175" t="s">
        <v>3</v>
      </c>
      <c r="BE175" t="s">
        <v>3</v>
      </c>
      <c r="BF175" t="s">
        <v>3</v>
      </c>
      <c r="BG175" t="s">
        <v>3</v>
      </c>
      <c r="BH175">
        <v>0</v>
      </c>
      <c r="BI175">
        <v>4</v>
      </c>
      <c r="BJ175" t="s">
        <v>215</v>
      </c>
      <c r="BM175">
        <v>0</v>
      </c>
      <c r="BN175">
        <v>0</v>
      </c>
      <c r="BO175" t="s">
        <v>3</v>
      </c>
      <c r="BP175">
        <v>0</v>
      </c>
      <c r="BQ175">
        <v>1</v>
      </c>
      <c r="BR175">
        <v>0</v>
      </c>
      <c r="BS175">
        <v>1</v>
      </c>
      <c r="BT175">
        <v>1</v>
      </c>
      <c r="BU175">
        <v>1</v>
      </c>
      <c r="BV175">
        <v>1</v>
      </c>
      <c r="BW175">
        <v>1</v>
      </c>
      <c r="BX175">
        <v>1</v>
      </c>
      <c r="BY175" t="s">
        <v>3</v>
      </c>
      <c r="BZ175">
        <v>70</v>
      </c>
      <c r="CA175">
        <v>10</v>
      </c>
      <c r="CB175" t="s">
        <v>3</v>
      </c>
      <c r="CE175">
        <v>0</v>
      </c>
      <c r="CF175">
        <v>0</v>
      </c>
      <c r="CG175">
        <v>0</v>
      </c>
      <c r="CM175">
        <v>0</v>
      </c>
      <c r="CN175" t="s">
        <v>3</v>
      </c>
      <c r="CO175">
        <v>0</v>
      </c>
      <c r="CP175">
        <f t="shared" si="143"/>
        <v>3044.02</v>
      </c>
      <c r="CQ175">
        <f t="shared" si="144"/>
        <v>9.06</v>
      </c>
      <c r="CR175">
        <f>(((((ET175*2))*BB175-((EU175*2))*BS175)+AE175*BS175)*AV175)</f>
        <v>0</v>
      </c>
      <c r="CS175">
        <f t="shared" si="145"/>
        <v>0</v>
      </c>
      <c r="CT175">
        <f t="shared" si="146"/>
        <v>425.8</v>
      </c>
      <c r="CU175">
        <f t="shared" si="147"/>
        <v>0</v>
      </c>
      <c r="CV175">
        <f t="shared" si="148"/>
        <v>0.6</v>
      </c>
      <c r="CW175">
        <f t="shared" si="149"/>
        <v>0</v>
      </c>
      <c r="CX175">
        <f t="shared" si="149"/>
        <v>0</v>
      </c>
      <c r="CY175">
        <f t="shared" si="150"/>
        <v>2086.42</v>
      </c>
      <c r="CZ175">
        <f t="shared" si="151"/>
        <v>298.06</v>
      </c>
      <c r="DC175" t="s">
        <v>3</v>
      </c>
      <c r="DD175" t="s">
        <v>42</v>
      </c>
      <c r="DE175" t="s">
        <v>42</v>
      </c>
      <c r="DF175" t="s">
        <v>42</v>
      </c>
      <c r="DG175" t="s">
        <v>42</v>
      </c>
      <c r="DH175" t="s">
        <v>3</v>
      </c>
      <c r="DI175" t="s">
        <v>42</v>
      </c>
      <c r="DJ175" t="s">
        <v>42</v>
      </c>
      <c r="DK175" t="s">
        <v>3</v>
      </c>
      <c r="DL175" t="s">
        <v>3</v>
      </c>
      <c r="DM175" t="s">
        <v>3</v>
      </c>
      <c r="DN175">
        <v>0</v>
      </c>
      <c r="DO175">
        <v>0</v>
      </c>
      <c r="DP175">
        <v>1</v>
      </c>
      <c r="DQ175">
        <v>1</v>
      </c>
      <c r="DU175">
        <v>16987630</v>
      </c>
      <c r="DV175" t="s">
        <v>36</v>
      </c>
      <c r="DW175" t="s">
        <v>36</v>
      </c>
      <c r="DX175">
        <v>1</v>
      </c>
      <c r="DZ175" t="s">
        <v>3</v>
      </c>
      <c r="EA175" t="s">
        <v>3</v>
      </c>
      <c r="EB175" t="s">
        <v>3</v>
      </c>
      <c r="EC175" t="s">
        <v>3</v>
      </c>
      <c r="EE175">
        <v>1441815344</v>
      </c>
      <c r="EF175">
        <v>1</v>
      </c>
      <c r="EG175" t="s">
        <v>21</v>
      </c>
      <c r="EH175">
        <v>0</v>
      </c>
      <c r="EI175" t="s">
        <v>3</v>
      </c>
      <c r="EJ175">
        <v>4</v>
      </c>
      <c r="EK175">
        <v>0</v>
      </c>
      <c r="EL175" t="s">
        <v>22</v>
      </c>
      <c r="EM175" t="s">
        <v>23</v>
      </c>
      <c r="EO175" t="s">
        <v>3</v>
      </c>
      <c r="EQ175">
        <v>0</v>
      </c>
      <c r="ER175">
        <v>217.43</v>
      </c>
      <c r="ES175">
        <v>4.53</v>
      </c>
      <c r="ET175">
        <v>0</v>
      </c>
      <c r="EU175">
        <v>0</v>
      </c>
      <c r="EV175">
        <v>212.9</v>
      </c>
      <c r="EW175">
        <v>0.3</v>
      </c>
      <c r="EX175">
        <v>0</v>
      </c>
      <c r="EY175">
        <v>0</v>
      </c>
      <c r="FQ175">
        <v>0</v>
      </c>
      <c r="FR175">
        <f t="shared" si="152"/>
        <v>0</v>
      </c>
      <c r="FS175">
        <v>0</v>
      </c>
      <c r="FX175">
        <v>70</v>
      </c>
      <c r="FY175">
        <v>10</v>
      </c>
      <c r="GA175" t="s">
        <v>3</v>
      </c>
      <c r="GD175">
        <v>0</v>
      </c>
      <c r="GF175">
        <v>-800010049</v>
      </c>
      <c r="GG175">
        <v>2</v>
      </c>
      <c r="GH175">
        <v>1</v>
      </c>
      <c r="GI175">
        <v>-2</v>
      </c>
      <c r="GJ175">
        <v>0</v>
      </c>
      <c r="GK175">
        <f>ROUND(R175*(R12)/100,2)</f>
        <v>0</v>
      </c>
      <c r="GL175">
        <f t="shared" si="153"/>
        <v>0</v>
      </c>
      <c r="GM175">
        <f t="shared" si="154"/>
        <v>5428.5</v>
      </c>
      <c r="GN175">
        <f t="shared" si="155"/>
        <v>0</v>
      </c>
      <c r="GO175">
        <f t="shared" si="156"/>
        <v>0</v>
      </c>
      <c r="GP175">
        <f t="shared" si="157"/>
        <v>5428.5</v>
      </c>
      <c r="GR175">
        <v>0</v>
      </c>
      <c r="GS175">
        <v>3</v>
      </c>
      <c r="GT175">
        <v>0</v>
      </c>
      <c r="GU175" t="s">
        <v>3</v>
      </c>
      <c r="GV175">
        <f t="shared" si="158"/>
        <v>0</v>
      </c>
      <c r="GW175">
        <v>1</v>
      </c>
      <c r="GX175">
        <f t="shared" si="159"/>
        <v>0</v>
      </c>
      <c r="HA175">
        <v>0</v>
      </c>
      <c r="HB175">
        <v>0</v>
      </c>
      <c r="HC175">
        <f t="shared" si="160"/>
        <v>0</v>
      </c>
      <c r="HE175" t="s">
        <v>3</v>
      </c>
      <c r="HF175" t="s">
        <v>3</v>
      </c>
      <c r="HM175" t="s">
        <v>3</v>
      </c>
      <c r="HN175" t="s">
        <v>3</v>
      </c>
      <c r="HO175" t="s">
        <v>3</v>
      </c>
      <c r="HP175" t="s">
        <v>3</v>
      </c>
      <c r="HQ175" t="s">
        <v>3</v>
      </c>
      <c r="IK175">
        <v>0</v>
      </c>
    </row>
    <row r="176" spans="1:245" x14ac:dyDescent="0.2">
      <c r="A176">
        <v>17</v>
      </c>
      <c r="B176">
        <v>1</v>
      </c>
      <c r="D176">
        <f>ROW(EtalonRes!A89)</f>
        <v>89</v>
      </c>
      <c r="E176" t="s">
        <v>3</v>
      </c>
      <c r="F176" t="s">
        <v>216</v>
      </c>
      <c r="G176" t="s">
        <v>217</v>
      </c>
      <c r="H176" t="s">
        <v>36</v>
      </c>
      <c r="I176">
        <f>ROUND(3*7,9)</f>
        <v>21</v>
      </c>
      <c r="J176">
        <v>0</v>
      </c>
      <c r="K176">
        <f>ROUND(3*7,9)</f>
        <v>21</v>
      </c>
      <c r="O176">
        <f t="shared" si="130"/>
        <v>1556.73</v>
      </c>
      <c r="P176">
        <f t="shared" si="131"/>
        <v>0.63</v>
      </c>
      <c r="Q176">
        <f t="shared" si="132"/>
        <v>0</v>
      </c>
      <c r="R176">
        <f t="shared" si="133"/>
        <v>0</v>
      </c>
      <c r="S176">
        <f t="shared" si="134"/>
        <v>1556.1</v>
      </c>
      <c r="T176">
        <f t="shared" si="135"/>
        <v>0</v>
      </c>
      <c r="U176">
        <f t="shared" si="136"/>
        <v>2.52</v>
      </c>
      <c r="V176">
        <f t="shared" si="137"/>
        <v>0</v>
      </c>
      <c r="W176">
        <f t="shared" si="138"/>
        <v>0</v>
      </c>
      <c r="X176">
        <f t="shared" si="139"/>
        <v>1089.27</v>
      </c>
      <c r="Y176">
        <f t="shared" si="139"/>
        <v>155.61000000000001</v>
      </c>
      <c r="AA176">
        <v>-1</v>
      </c>
      <c r="AB176">
        <f t="shared" si="140"/>
        <v>74.13</v>
      </c>
      <c r="AC176">
        <f>ROUND(((ES176*3)),6)</f>
        <v>0.03</v>
      </c>
      <c r="AD176">
        <f>ROUND(((((ET176*3))-((EU176*3)))+AE176),6)</f>
        <v>0</v>
      </c>
      <c r="AE176">
        <f>ROUND(((EU176*3)),6)</f>
        <v>0</v>
      </c>
      <c r="AF176">
        <f>ROUND(((EV176*3)),6)</f>
        <v>74.099999999999994</v>
      </c>
      <c r="AG176">
        <f t="shared" si="141"/>
        <v>0</v>
      </c>
      <c r="AH176">
        <f>((EW176*3))</f>
        <v>0.12</v>
      </c>
      <c r="AI176">
        <f>((EX176*3))</f>
        <v>0</v>
      </c>
      <c r="AJ176">
        <f t="shared" si="142"/>
        <v>0</v>
      </c>
      <c r="AK176">
        <v>24.71</v>
      </c>
      <c r="AL176">
        <v>0.01</v>
      </c>
      <c r="AM176">
        <v>0</v>
      </c>
      <c r="AN176">
        <v>0</v>
      </c>
      <c r="AO176">
        <v>24.7</v>
      </c>
      <c r="AP176">
        <v>0</v>
      </c>
      <c r="AQ176">
        <v>0.04</v>
      </c>
      <c r="AR176">
        <v>0</v>
      </c>
      <c r="AS176">
        <v>0</v>
      </c>
      <c r="AT176">
        <v>70</v>
      </c>
      <c r="AU176">
        <v>10</v>
      </c>
      <c r="AV176">
        <v>1</v>
      </c>
      <c r="AW176">
        <v>1</v>
      </c>
      <c r="AZ176">
        <v>1</v>
      </c>
      <c r="BA176">
        <v>1</v>
      </c>
      <c r="BB176">
        <v>1</v>
      </c>
      <c r="BC176">
        <v>1</v>
      </c>
      <c r="BD176" t="s">
        <v>3</v>
      </c>
      <c r="BE176" t="s">
        <v>3</v>
      </c>
      <c r="BF176" t="s">
        <v>3</v>
      </c>
      <c r="BG176" t="s">
        <v>3</v>
      </c>
      <c r="BH176">
        <v>0</v>
      </c>
      <c r="BI176">
        <v>4</v>
      </c>
      <c r="BJ176" t="s">
        <v>218</v>
      </c>
      <c r="BM176">
        <v>0</v>
      </c>
      <c r="BN176">
        <v>0</v>
      </c>
      <c r="BO176" t="s">
        <v>3</v>
      </c>
      <c r="BP176">
        <v>0</v>
      </c>
      <c r="BQ176">
        <v>1</v>
      </c>
      <c r="BR176">
        <v>0</v>
      </c>
      <c r="BS176">
        <v>1</v>
      </c>
      <c r="BT176">
        <v>1</v>
      </c>
      <c r="BU176">
        <v>1</v>
      </c>
      <c r="BV176">
        <v>1</v>
      </c>
      <c r="BW176">
        <v>1</v>
      </c>
      <c r="BX176">
        <v>1</v>
      </c>
      <c r="BY176" t="s">
        <v>3</v>
      </c>
      <c r="BZ176">
        <v>70</v>
      </c>
      <c r="CA176">
        <v>10</v>
      </c>
      <c r="CB176" t="s">
        <v>3</v>
      </c>
      <c r="CE176">
        <v>0</v>
      </c>
      <c r="CF176">
        <v>0</v>
      </c>
      <c r="CG176">
        <v>0</v>
      </c>
      <c r="CM176">
        <v>0</v>
      </c>
      <c r="CN176" t="s">
        <v>3</v>
      </c>
      <c r="CO176">
        <v>0</v>
      </c>
      <c r="CP176">
        <f t="shared" si="143"/>
        <v>1556.73</v>
      </c>
      <c r="CQ176">
        <f t="shared" si="144"/>
        <v>0.03</v>
      </c>
      <c r="CR176">
        <f>(((((ET176*3))*BB176-((EU176*3))*BS176)+AE176*BS176)*AV176)</f>
        <v>0</v>
      </c>
      <c r="CS176">
        <f t="shared" si="145"/>
        <v>0</v>
      </c>
      <c r="CT176">
        <f t="shared" si="146"/>
        <v>74.099999999999994</v>
      </c>
      <c r="CU176">
        <f t="shared" si="147"/>
        <v>0</v>
      </c>
      <c r="CV176">
        <f t="shared" si="148"/>
        <v>0.12</v>
      </c>
      <c r="CW176">
        <f t="shared" si="149"/>
        <v>0</v>
      </c>
      <c r="CX176">
        <f t="shared" si="149"/>
        <v>0</v>
      </c>
      <c r="CY176">
        <f t="shared" si="150"/>
        <v>1089.27</v>
      </c>
      <c r="CZ176">
        <f t="shared" si="151"/>
        <v>155.61000000000001</v>
      </c>
      <c r="DC176" t="s">
        <v>3</v>
      </c>
      <c r="DD176" t="s">
        <v>163</v>
      </c>
      <c r="DE176" t="s">
        <v>163</v>
      </c>
      <c r="DF176" t="s">
        <v>163</v>
      </c>
      <c r="DG176" t="s">
        <v>163</v>
      </c>
      <c r="DH176" t="s">
        <v>3</v>
      </c>
      <c r="DI176" t="s">
        <v>163</v>
      </c>
      <c r="DJ176" t="s">
        <v>163</v>
      </c>
      <c r="DK176" t="s">
        <v>3</v>
      </c>
      <c r="DL176" t="s">
        <v>3</v>
      </c>
      <c r="DM176" t="s">
        <v>3</v>
      </c>
      <c r="DN176">
        <v>0</v>
      </c>
      <c r="DO176">
        <v>0</v>
      </c>
      <c r="DP176">
        <v>1</v>
      </c>
      <c r="DQ176">
        <v>1</v>
      </c>
      <c r="DU176">
        <v>16987630</v>
      </c>
      <c r="DV176" t="s">
        <v>36</v>
      </c>
      <c r="DW176" t="s">
        <v>36</v>
      </c>
      <c r="DX176">
        <v>1</v>
      </c>
      <c r="DZ176" t="s">
        <v>3</v>
      </c>
      <c r="EA176" t="s">
        <v>3</v>
      </c>
      <c r="EB176" t="s">
        <v>3</v>
      </c>
      <c r="EC176" t="s">
        <v>3</v>
      </c>
      <c r="EE176">
        <v>1441815344</v>
      </c>
      <c r="EF176">
        <v>1</v>
      </c>
      <c r="EG176" t="s">
        <v>21</v>
      </c>
      <c r="EH176">
        <v>0</v>
      </c>
      <c r="EI176" t="s">
        <v>3</v>
      </c>
      <c r="EJ176">
        <v>4</v>
      </c>
      <c r="EK176">
        <v>0</v>
      </c>
      <c r="EL176" t="s">
        <v>22</v>
      </c>
      <c r="EM176" t="s">
        <v>23</v>
      </c>
      <c r="EO176" t="s">
        <v>3</v>
      </c>
      <c r="EQ176">
        <v>1024</v>
      </c>
      <c r="ER176">
        <v>24.71</v>
      </c>
      <c r="ES176">
        <v>0.01</v>
      </c>
      <c r="ET176">
        <v>0</v>
      </c>
      <c r="EU176">
        <v>0</v>
      </c>
      <c r="EV176">
        <v>24.7</v>
      </c>
      <c r="EW176">
        <v>0.04</v>
      </c>
      <c r="EX176">
        <v>0</v>
      </c>
      <c r="EY176">
        <v>0</v>
      </c>
      <c r="FQ176">
        <v>0</v>
      </c>
      <c r="FR176">
        <f t="shared" si="152"/>
        <v>0</v>
      </c>
      <c r="FS176">
        <v>0</v>
      </c>
      <c r="FX176">
        <v>70</v>
      </c>
      <c r="FY176">
        <v>10</v>
      </c>
      <c r="GA176" t="s">
        <v>3</v>
      </c>
      <c r="GD176">
        <v>0</v>
      </c>
      <c r="GF176">
        <v>228728073</v>
      </c>
      <c r="GG176">
        <v>2</v>
      </c>
      <c r="GH176">
        <v>1</v>
      </c>
      <c r="GI176">
        <v>-2</v>
      </c>
      <c r="GJ176">
        <v>0</v>
      </c>
      <c r="GK176">
        <f>ROUND(R176*(R12)/100,2)</f>
        <v>0</v>
      </c>
      <c r="GL176">
        <f t="shared" si="153"/>
        <v>0</v>
      </c>
      <c r="GM176">
        <f t="shared" si="154"/>
        <v>2801.61</v>
      </c>
      <c r="GN176">
        <f t="shared" si="155"/>
        <v>0</v>
      </c>
      <c r="GO176">
        <f t="shared" si="156"/>
        <v>0</v>
      </c>
      <c r="GP176">
        <f t="shared" si="157"/>
        <v>2801.61</v>
      </c>
      <c r="GR176">
        <v>0</v>
      </c>
      <c r="GS176">
        <v>3</v>
      </c>
      <c r="GT176">
        <v>0</v>
      </c>
      <c r="GU176" t="s">
        <v>3</v>
      </c>
      <c r="GV176">
        <f t="shared" si="158"/>
        <v>0</v>
      </c>
      <c r="GW176">
        <v>1</v>
      </c>
      <c r="GX176">
        <f t="shared" si="159"/>
        <v>0</v>
      </c>
      <c r="HA176">
        <v>0</v>
      </c>
      <c r="HB176">
        <v>0</v>
      </c>
      <c r="HC176">
        <f t="shared" si="160"/>
        <v>0</v>
      </c>
      <c r="HE176" t="s">
        <v>3</v>
      </c>
      <c r="HF176" t="s">
        <v>3</v>
      </c>
      <c r="HM176" t="s">
        <v>3</v>
      </c>
      <c r="HN176" t="s">
        <v>3</v>
      </c>
      <c r="HO176" t="s">
        <v>3</v>
      </c>
      <c r="HP176" t="s">
        <v>3</v>
      </c>
      <c r="HQ176" t="s">
        <v>3</v>
      </c>
      <c r="IK176">
        <v>0</v>
      </c>
    </row>
    <row r="177" spans="1:245" x14ac:dyDescent="0.2">
      <c r="A177">
        <v>17</v>
      </c>
      <c r="B177">
        <v>1</v>
      </c>
      <c r="D177">
        <f>ROW(EtalonRes!A92)</f>
        <v>92</v>
      </c>
      <c r="E177" t="s">
        <v>219</v>
      </c>
      <c r="F177" t="s">
        <v>220</v>
      </c>
      <c r="G177" t="s">
        <v>221</v>
      </c>
      <c r="H177" t="s">
        <v>36</v>
      </c>
      <c r="I177">
        <f>ROUND(3*7,9)</f>
        <v>21</v>
      </c>
      <c r="J177">
        <v>0</v>
      </c>
      <c r="K177">
        <f>ROUND(3*7,9)</f>
        <v>21</v>
      </c>
      <c r="O177">
        <f t="shared" si="130"/>
        <v>15596.49</v>
      </c>
      <c r="P177">
        <f t="shared" si="131"/>
        <v>35.700000000000003</v>
      </c>
      <c r="Q177">
        <f t="shared" si="132"/>
        <v>0</v>
      </c>
      <c r="R177">
        <f t="shared" si="133"/>
        <v>0</v>
      </c>
      <c r="S177">
        <f t="shared" si="134"/>
        <v>15560.79</v>
      </c>
      <c r="T177">
        <f t="shared" si="135"/>
        <v>0</v>
      </c>
      <c r="U177">
        <f t="shared" si="136"/>
        <v>25.2</v>
      </c>
      <c r="V177">
        <f t="shared" si="137"/>
        <v>0</v>
      </c>
      <c r="W177">
        <f t="shared" si="138"/>
        <v>0</v>
      </c>
      <c r="X177">
        <f t="shared" si="139"/>
        <v>10892.55</v>
      </c>
      <c r="Y177">
        <f t="shared" si="139"/>
        <v>1556.08</v>
      </c>
      <c r="AA177">
        <v>1471718271</v>
      </c>
      <c r="AB177">
        <f t="shared" si="140"/>
        <v>742.69</v>
      </c>
      <c r="AC177">
        <f>ROUND((ES177),6)</f>
        <v>1.7</v>
      </c>
      <c r="AD177">
        <f>ROUND((((ET177)-(EU177))+AE177),6)</f>
        <v>0</v>
      </c>
      <c r="AE177">
        <f>ROUND((EU177),6)</f>
        <v>0</v>
      </c>
      <c r="AF177">
        <f>ROUND((EV177),6)</f>
        <v>740.99</v>
      </c>
      <c r="AG177">
        <f t="shared" si="141"/>
        <v>0</v>
      </c>
      <c r="AH177">
        <f>(EW177)</f>
        <v>1.2</v>
      </c>
      <c r="AI177">
        <f>(EX177)</f>
        <v>0</v>
      </c>
      <c r="AJ177">
        <f t="shared" si="142"/>
        <v>0</v>
      </c>
      <c r="AK177">
        <v>742.69</v>
      </c>
      <c r="AL177">
        <v>1.7</v>
      </c>
      <c r="AM177">
        <v>0</v>
      </c>
      <c r="AN177">
        <v>0</v>
      </c>
      <c r="AO177">
        <v>740.99</v>
      </c>
      <c r="AP177">
        <v>0</v>
      </c>
      <c r="AQ177">
        <v>1.2</v>
      </c>
      <c r="AR177">
        <v>0</v>
      </c>
      <c r="AS177">
        <v>0</v>
      </c>
      <c r="AT177">
        <v>70</v>
      </c>
      <c r="AU177">
        <v>10</v>
      </c>
      <c r="AV177">
        <v>1</v>
      </c>
      <c r="AW177">
        <v>1</v>
      </c>
      <c r="AZ177">
        <v>1</v>
      </c>
      <c r="BA177">
        <v>1</v>
      </c>
      <c r="BB177">
        <v>1</v>
      </c>
      <c r="BC177">
        <v>1</v>
      </c>
      <c r="BD177" t="s">
        <v>3</v>
      </c>
      <c r="BE177" t="s">
        <v>3</v>
      </c>
      <c r="BF177" t="s">
        <v>3</v>
      </c>
      <c r="BG177" t="s">
        <v>3</v>
      </c>
      <c r="BH177">
        <v>0</v>
      </c>
      <c r="BI177">
        <v>4</v>
      </c>
      <c r="BJ177" t="s">
        <v>222</v>
      </c>
      <c r="BM177">
        <v>0</v>
      </c>
      <c r="BN177">
        <v>0</v>
      </c>
      <c r="BO177" t="s">
        <v>3</v>
      </c>
      <c r="BP177">
        <v>0</v>
      </c>
      <c r="BQ177">
        <v>1</v>
      </c>
      <c r="BR177">
        <v>0</v>
      </c>
      <c r="BS177">
        <v>1</v>
      </c>
      <c r="BT177">
        <v>1</v>
      </c>
      <c r="BU177">
        <v>1</v>
      </c>
      <c r="BV177">
        <v>1</v>
      </c>
      <c r="BW177">
        <v>1</v>
      </c>
      <c r="BX177">
        <v>1</v>
      </c>
      <c r="BY177" t="s">
        <v>3</v>
      </c>
      <c r="BZ177">
        <v>70</v>
      </c>
      <c r="CA177">
        <v>10</v>
      </c>
      <c r="CB177" t="s">
        <v>3</v>
      </c>
      <c r="CE177">
        <v>0</v>
      </c>
      <c r="CF177">
        <v>0</v>
      </c>
      <c r="CG177">
        <v>0</v>
      </c>
      <c r="CM177">
        <v>0</v>
      </c>
      <c r="CN177" t="s">
        <v>3</v>
      </c>
      <c r="CO177">
        <v>0</v>
      </c>
      <c r="CP177">
        <f t="shared" si="143"/>
        <v>15596.490000000002</v>
      </c>
      <c r="CQ177">
        <f t="shared" si="144"/>
        <v>1.7</v>
      </c>
      <c r="CR177">
        <f>((((ET177)*BB177-(EU177)*BS177)+AE177*BS177)*AV177)</f>
        <v>0</v>
      </c>
      <c r="CS177">
        <f t="shared" si="145"/>
        <v>0</v>
      </c>
      <c r="CT177">
        <f t="shared" si="146"/>
        <v>740.99</v>
      </c>
      <c r="CU177">
        <f t="shared" si="147"/>
        <v>0</v>
      </c>
      <c r="CV177">
        <f t="shared" si="148"/>
        <v>1.2</v>
      </c>
      <c r="CW177">
        <f t="shared" si="149"/>
        <v>0</v>
      </c>
      <c r="CX177">
        <f t="shared" si="149"/>
        <v>0</v>
      </c>
      <c r="CY177">
        <f t="shared" si="150"/>
        <v>10892.553</v>
      </c>
      <c r="CZ177">
        <f t="shared" si="151"/>
        <v>1556.0790000000002</v>
      </c>
      <c r="DC177" t="s">
        <v>3</v>
      </c>
      <c r="DD177" t="s">
        <v>3</v>
      </c>
      <c r="DE177" t="s">
        <v>3</v>
      </c>
      <c r="DF177" t="s">
        <v>3</v>
      </c>
      <c r="DG177" t="s">
        <v>3</v>
      </c>
      <c r="DH177" t="s">
        <v>3</v>
      </c>
      <c r="DI177" t="s">
        <v>3</v>
      </c>
      <c r="DJ177" t="s">
        <v>3</v>
      </c>
      <c r="DK177" t="s">
        <v>3</v>
      </c>
      <c r="DL177" t="s">
        <v>3</v>
      </c>
      <c r="DM177" t="s">
        <v>3</v>
      </c>
      <c r="DN177">
        <v>0</v>
      </c>
      <c r="DO177">
        <v>0</v>
      </c>
      <c r="DP177">
        <v>1</v>
      </c>
      <c r="DQ177">
        <v>1</v>
      </c>
      <c r="DU177">
        <v>16987630</v>
      </c>
      <c r="DV177" t="s">
        <v>36</v>
      </c>
      <c r="DW177" t="s">
        <v>36</v>
      </c>
      <c r="DX177">
        <v>1</v>
      </c>
      <c r="DZ177" t="s">
        <v>3</v>
      </c>
      <c r="EA177" t="s">
        <v>3</v>
      </c>
      <c r="EB177" t="s">
        <v>3</v>
      </c>
      <c r="EC177" t="s">
        <v>3</v>
      </c>
      <c r="EE177">
        <v>1441815344</v>
      </c>
      <c r="EF177">
        <v>1</v>
      </c>
      <c r="EG177" t="s">
        <v>21</v>
      </c>
      <c r="EH177">
        <v>0</v>
      </c>
      <c r="EI177" t="s">
        <v>3</v>
      </c>
      <c r="EJ177">
        <v>4</v>
      </c>
      <c r="EK177">
        <v>0</v>
      </c>
      <c r="EL177" t="s">
        <v>22</v>
      </c>
      <c r="EM177" t="s">
        <v>23</v>
      </c>
      <c r="EO177" t="s">
        <v>3</v>
      </c>
      <c r="EQ177">
        <v>0</v>
      </c>
      <c r="ER177">
        <v>742.69</v>
      </c>
      <c r="ES177">
        <v>1.7</v>
      </c>
      <c r="ET177">
        <v>0</v>
      </c>
      <c r="EU177">
        <v>0</v>
      </c>
      <c r="EV177">
        <v>740.99</v>
      </c>
      <c r="EW177">
        <v>1.2</v>
      </c>
      <c r="EX177">
        <v>0</v>
      </c>
      <c r="EY177">
        <v>0</v>
      </c>
      <c r="FQ177">
        <v>0</v>
      </c>
      <c r="FR177">
        <f t="shared" si="152"/>
        <v>0</v>
      </c>
      <c r="FS177">
        <v>0</v>
      </c>
      <c r="FX177">
        <v>70</v>
      </c>
      <c r="FY177">
        <v>10</v>
      </c>
      <c r="GA177" t="s">
        <v>3</v>
      </c>
      <c r="GD177">
        <v>0</v>
      </c>
      <c r="GF177">
        <v>63546236</v>
      </c>
      <c r="GG177">
        <v>2</v>
      </c>
      <c r="GH177">
        <v>1</v>
      </c>
      <c r="GI177">
        <v>-2</v>
      </c>
      <c r="GJ177">
        <v>0</v>
      </c>
      <c r="GK177">
        <f>ROUND(R177*(R12)/100,2)</f>
        <v>0</v>
      </c>
      <c r="GL177">
        <f t="shared" si="153"/>
        <v>0</v>
      </c>
      <c r="GM177">
        <f t="shared" si="154"/>
        <v>28045.119999999999</v>
      </c>
      <c r="GN177">
        <f t="shared" si="155"/>
        <v>0</v>
      </c>
      <c r="GO177">
        <f t="shared" si="156"/>
        <v>0</v>
      </c>
      <c r="GP177">
        <f t="shared" si="157"/>
        <v>28045.119999999999</v>
      </c>
      <c r="GR177">
        <v>0</v>
      </c>
      <c r="GS177">
        <v>3</v>
      </c>
      <c r="GT177">
        <v>0</v>
      </c>
      <c r="GU177" t="s">
        <v>3</v>
      </c>
      <c r="GV177">
        <f t="shared" si="158"/>
        <v>0</v>
      </c>
      <c r="GW177">
        <v>1</v>
      </c>
      <c r="GX177">
        <f t="shared" si="159"/>
        <v>0</v>
      </c>
      <c r="HA177">
        <v>0</v>
      </c>
      <c r="HB177">
        <v>0</v>
      </c>
      <c r="HC177">
        <f t="shared" si="160"/>
        <v>0</v>
      </c>
      <c r="HE177" t="s">
        <v>3</v>
      </c>
      <c r="HF177" t="s">
        <v>3</v>
      </c>
      <c r="HM177" t="s">
        <v>3</v>
      </c>
      <c r="HN177" t="s">
        <v>3</v>
      </c>
      <c r="HO177" t="s">
        <v>3</v>
      </c>
      <c r="HP177" t="s">
        <v>3</v>
      </c>
      <c r="HQ177" t="s">
        <v>3</v>
      </c>
      <c r="IK177">
        <v>0</v>
      </c>
    </row>
    <row r="178" spans="1:245" x14ac:dyDescent="0.2">
      <c r="A178">
        <v>17</v>
      </c>
      <c r="B178">
        <v>1</v>
      </c>
      <c r="D178">
        <f>ROW(EtalonRes!A95)</f>
        <v>95</v>
      </c>
      <c r="E178" t="s">
        <v>223</v>
      </c>
      <c r="F178" t="s">
        <v>213</v>
      </c>
      <c r="G178" t="s">
        <v>224</v>
      </c>
      <c r="H178" t="s">
        <v>36</v>
      </c>
      <c r="I178">
        <f>ROUND(12*7,9)</f>
        <v>84</v>
      </c>
      <c r="J178">
        <v>0</v>
      </c>
      <c r="K178">
        <f>ROUND(12*7,9)</f>
        <v>84</v>
      </c>
      <c r="O178">
        <f t="shared" si="130"/>
        <v>36528.239999999998</v>
      </c>
      <c r="P178">
        <f t="shared" si="131"/>
        <v>761.04</v>
      </c>
      <c r="Q178">
        <f t="shared" si="132"/>
        <v>0</v>
      </c>
      <c r="R178">
        <f t="shared" si="133"/>
        <v>0</v>
      </c>
      <c r="S178">
        <f t="shared" si="134"/>
        <v>35767.199999999997</v>
      </c>
      <c r="T178">
        <f t="shared" si="135"/>
        <v>0</v>
      </c>
      <c r="U178">
        <f t="shared" si="136"/>
        <v>50.4</v>
      </c>
      <c r="V178">
        <f t="shared" si="137"/>
        <v>0</v>
      </c>
      <c r="W178">
        <f t="shared" si="138"/>
        <v>0</v>
      </c>
      <c r="X178">
        <f t="shared" si="139"/>
        <v>25037.040000000001</v>
      </c>
      <c r="Y178">
        <f t="shared" si="139"/>
        <v>3576.72</v>
      </c>
      <c r="AA178">
        <v>1471718271</v>
      </c>
      <c r="AB178">
        <f t="shared" si="140"/>
        <v>434.86</v>
      </c>
      <c r="AC178">
        <f>ROUND(((ES178*2)),6)</f>
        <v>9.06</v>
      </c>
      <c r="AD178">
        <f>ROUND(((((ET178*2))-((EU178*2)))+AE178),6)</f>
        <v>0</v>
      </c>
      <c r="AE178">
        <f>ROUND(((EU178*2)),6)</f>
        <v>0</v>
      </c>
      <c r="AF178">
        <f>ROUND(((EV178*2)),6)</f>
        <v>425.8</v>
      </c>
      <c r="AG178">
        <f t="shared" si="141"/>
        <v>0</v>
      </c>
      <c r="AH178">
        <f>((EW178*2))</f>
        <v>0.6</v>
      </c>
      <c r="AI178">
        <f>((EX178*2))</f>
        <v>0</v>
      </c>
      <c r="AJ178">
        <f t="shared" si="142"/>
        <v>0</v>
      </c>
      <c r="AK178">
        <v>217.43</v>
      </c>
      <c r="AL178">
        <v>4.53</v>
      </c>
      <c r="AM178">
        <v>0</v>
      </c>
      <c r="AN178">
        <v>0</v>
      </c>
      <c r="AO178">
        <v>212.9</v>
      </c>
      <c r="AP178">
        <v>0</v>
      </c>
      <c r="AQ178">
        <v>0.3</v>
      </c>
      <c r="AR178">
        <v>0</v>
      </c>
      <c r="AS178">
        <v>0</v>
      </c>
      <c r="AT178">
        <v>70</v>
      </c>
      <c r="AU178">
        <v>10</v>
      </c>
      <c r="AV178">
        <v>1</v>
      </c>
      <c r="AW178">
        <v>1</v>
      </c>
      <c r="AZ178">
        <v>1</v>
      </c>
      <c r="BA178">
        <v>1</v>
      </c>
      <c r="BB178">
        <v>1</v>
      </c>
      <c r="BC178">
        <v>1</v>
      </c>
      <c r="BD178" t="s">
        <v>3</v>
      </c>
      <c r="BE178" t="s">
        <v>3</v>
      </c>
      <c r="BF178" t="s">
        <v>3</v>
      </c>
      <c r="BG178" t="s">
        <v>3</v>
      </c>
      <c r="BH178">
        <v>0</v>
      </c>
      <c r="BI178">
        <v>4</v>
      </c>
      <c r="BJ178" t="s">
        <v>215</v>
      </c>
      <c r="BM178">
        <v>0</v>
      </c>
      <c r="BN178">
        <v>0</v>
      </c>
      <c r="BO178" t="s">
        <v>3</v>
      </c>
      <c r="BP178">
        <v>0</v>
      </c>
      <c r="BQ178">
        <v>1</v>
      </c>
      <c r="BR178">
        <v>0</v>
      </c>
      <c r="BS178">
        <v>1</v>
      </c>
      <c r="BT178">
        <v>1</v>
      </c>
      <c r="BU178">
        <v>1</v>
      </c>
      <c r="BV178">
        <v>1</v>
      </c>
      <c r="BW178">
        <v>1</v>
      </c>
      <c r="BX178">
        <v>1</v>
      </c>
      <c r="BY178" t="s">
        <v>3</v>
      </c>
      <c r="BZ178">
        <v>70</v>
      </c>
      <c r="CA178">
        <v>10</v>
      </c>
      <c r="CB178" t="s">
        <v>3</v>
      </c>
      <c r="CE178">
        <v>0</v>
      </c>
      <c r="CF178">
        <v>0</v>
      </c>
      <c r="CG178">
        <v>0</v>
      </c>
      <c r="CM178">
        <v>0</v>
      </c>
      <c r="CN178" t="s">
        <v>3</v>
      </c>
      <c r="CO178">
        <v>0</v>
      </c>
      <c r="CP178">
        <f t="shared" si="143"/>
        <v>36528.239999999998</v>
      </c>
      <c r="CQ178">
        <f t="shared" si="144"/>
        <v>9.06</v>
      </c>
      <c r="CR178">
        <f>(((((ET178*2))*BB178-((EU178*2))*BS178)+AE178*BS178)*AV178)</f>
        <v>0</v>
      </c>
      <c r="CS178">
        <f t="shared" si="145"/>
        <v>0</v>
      </c>
      <c r="CT178">
        <f t="shared" si="146"/>
        <v>425.8</v>
      </c>
      <c r="CU178">
        <f t="shared" si="147"/>
        <v>0</v>
      </c>
      <c r="CV178">
        <f t="shared" si="148"/>
        <v>0.6</v>
      </c>
      <c r="CW178">
        <f t="shared" si="149"/>
        <v>0</v>
      </c>
      <c r="CX178">
        <f t="shared" si="149"/>
        <v>0</v>
      </c>
      <c r="CY178">
        <f t="shared" si="150"/>
        <v>25037.040000000001</v>
      </c>
      <c r="CZ178">
        <f t="shared" si="151"/>
        <v>3576.72</v>
      </c>
      <c r="DC178" t="s">
        <v>3</v>
      </c>
      <c r="DD178" t="s">
        <v>42</v>
      </c>
      <c r="DE178" t="s">
        <v>42</v>
      </c>
      <c r="DF178" t="s">
        <v>42</v>
      </c>
      <c r="DG178" t="s">
        <v>42</v>
      </c>
      <c r="DH178" t="s">
        <v>3</v>
      </c>
      <c r="DI178" t="s">
        <v>42</v>
      </c>
      <c r="DJ178" t="s">
        <v>42</v>
      </c>
      <c r="DK178" t="s">
        <v>3</v>
      </c>
      <c r="DL178" t="s">
        <v>3</v>
      </c>
      <c r="DM178" t="s">
        <v>3</v>
      </c>
      <c r="DN178">
        <v>0</v>
      </c>
      <c r="DO178">
        <v>0</v>
      </c>
      <c r="DP178">
        <v>1</v>
      </c>
      <c r="DQ178">
        <v>1</v>
      </c>
      <c r="DU178">
        <v>16987630</v>
      </c>
      <c r="DV178" t="s">
        <v>36</v>
      </c>
      <c r="DW178" t="s">
        <v>36</v>
      </c>
      <c r="DX178">
        <v>1</v>
      </c>
      <c r="DZ178" t="s">
        <v>3</v>
      </c>
      <c r="EA178" t="s">
        <v>3</v>
      </c>
      <c r="EB178" t="s">
        <v>3</v>
      </c>
      <c r="EC178" t="s">
        <v>3</v>
      </c>
      <c r="EE178">
        <v>1441815344</v>
      </c>
      <c r="EF178">
        <v>1</v>
      </c>
      <c r="EG178" t="s">
        <v>21</v>
      </c>
      <c r="EH178">
        <v>0</v>
      </c>
      <c r="EI178" t="s">
        <v>3</v>
      </c>
      <c r="EJ178">
        <v>4</v>
      </c>
      <c r="EK178">
        <v>0</v>
      </c>
      <c r="EL178" t="s">
        <v>22</v>
      </c>
      <c r="EM178" t="s">
        <v>23</v>
      </c>
      <c r="EO178" t="s">
        <v>3</v>
      </c>
      <c r="EQ178">
        <v>0</v>
      </c>
      <c r="ER178">
        <v>217.43</v>
      </c>
      <c r="ES178">
        <v>4.53</v>
      </c>
      <c r="ET178">
        <v>0</v>
      </c>
      <c r="EU178">
        <v>0</v>
      </c>
      <c r="EV178">
        <v>212.9</v>
      </c>
      <c r="EW178">
        <v>0.3</v>
      </c>
      <c r="EX178">
        <v>0</v>
      </c>
      <c r="EY178">
        <v>0</v>
      </c>
      <c r="FQ178">
        <v>0</v>
      </c>
      <c r="FR178">
        <f t="shared" si="152"/>
        <v>0</v>
      </c>
      <c r="FS178">
        <v>0</v>
      </c>
      <c r="FX178">
        <v>70</v>
      </c>
      <c r="FY178">
        <v>10</v>
      </c>
      <c r="GA178" t="s">
        <v>3</v>
      </c>
      <c r="GD178">
        <v>0</v>
      </c>
      <c r="GF178">
        <v>-680911377</v>
      </c>
      <c r="GG178">
        <v>2</v>
      </c>
      <c r="GH178">
        <v>1</v>
      </c>
      <c r="GI178">
        <v>-2</v>
      </c>
      <c r="GJ178">
        <v>0</v>
      </c>
      <c r="GK178">
        <f>ROUND(R178*(R12)/100,2)</f>
        <v>0</v>
      </c>
      <c r="GL178">
        <f t="shared" si="153"/>
        <v>0</v>
      </c>
      <c r="GM178">
        <f t="shared" si="154"/>
        <v>65142</v>
      </c>
      <c r="GN178">
        <f t="shared" si="155"/>
        <v>0</v>
      </c>
      <c r="GO178">
        <f t="shared" si="156"/>
        <v>0</v>
      </c>
      <c r="GP178">
        <f t="shared" si="157"/>
        <v>65142</v>
      </c>
      <c r="GR178">
        <v>0</v>
      </c>
      <c r="GS178">
        <v>3</v>
      </c>
      <c r="GT178">
        <v>0</v>
      </c>
      <c r="GU178" t="s">
        <v>3</v>
      </c>
      <c r="GV178">
        <f t="shared" si="158"/>
        <v>0</v>
      </c>
      <c r="GW178">
        <v>1</v>
      </c>
      <c r="GX178">
        <f t="shared" si="159"/>
        <v>0</v>
      </c>
      <c r="HA178">
        <v>0</v>
      </c>
      <c r="HB178">
        <v>0</v>
      </c>
      <c r="HC178">
        <f t="shared" si="160"/>
        <v>0</v>
      </c>
      <c r="HE178" t="s">
        <v>3</v>
      </c>
      <c r="HF178" t="s">
        <v>3</v>
      </c>
      <c r="HM178" t="s">
        <v>3</v>
      </c>
      <c r="HN178" t="s">
        <v>3</v>
      </c>
      <c r="HO178" t="s">
        <v>3</v>
      </c>
      <c r="HP178" t="s">
        <v>3</v>
      </c>
      <c r="HQ178" t="s">
        <v>3</v>
      </c>
      <c r="IK178">
        <v>0</v>
      </c>
    </row>
    <row r="179" spans="1:245" x14ac:dyDescent="0.2">
      <c r="A179">
        <v>19</v>
      </c>
      <c r="B179">
        <v>1</v>
      </c>
      <c r="F179" t="s">
        <v>3</v>
      </c>
      <c r="G179" t="s">
        <v>225</v>
      </c>
      <c r="H179" t="s">
        <v>3</v>
      </c>
      <c r="AA179">
        <v>1</v>
      </c>
      <c r="IK179">
        <v>0</v>
      </c>
    </row>
    <row r="180" spans="1:245" x14ac:dyDescent="0.2">
      <c r="A180">
        <v>17</v>
      </c>
      <c r="B180">
        <v>1</v>
      </c>
      <c r="D180">
        <f>ROW(EtalonRes!A97)</f>
        <v>97</v>
      </c>
      <c r="E180" t="s">
        <v>226</v>
      </c>
      <c r="F180" t="s">
        <v>227</v>
      </c>
      <c r="G180" t="s">
        <v>228</v>
      </c>
      <c r="H180" t="s">
        <v>36</v>
      </c>
      <c r="I180">
        <f>ROUND(16*7,9)</f>
        <v>112</v>
      </c>
      <c r="J180">
        <v>0</v>
      </c>
      <c r="K180">
        <f>ROUND(16*7,9)</f>
        <v>112</v>
      </c>
      <c r="O180">
        <f>ROUND(CP180,2)</f>
        <v>26333.98</v>
      </c>
      <c r="P180">
        <f>ROUND(CQ180*I180,2)</f>
        <v>141.12</v>
      </c>
      <c r="Q180">
        <f>ROUND(CR180*I180,2)</f>
        <v>0</v>
      </c>
      <c r="R180">
        <f>ROUND(CS180*I180,2)</f>
        <v>0</v>
      </c>
      <c r="S180">
        <f>ROUND(CT180*I180,2)</f>
        <v>26192.86</v>
      </c>
      <c r="T180">
        <f>ROUND(CU180*I180,2)</f>
        <v>0</v>
      </c>
      <c r="U180">
        <f>CV180*I180</f>
        <v>46.592000000000006</v>
      </c>
      <c r="V180">
        <f>CW180*I180</f>
        <v>0</v>
      </c>
      <c r="W180">
        <f>ROUND(CX180*I180,2)</f>
        <v>0</v>
      </c>
      <c r="X180">
        <f>ROUND(CY180,2)</f>
        <v>18335</v>
      </c>
      <c r="Y180">
        <f>ROUND(CZ180,2)</f>
        <v>2619.29</v>
      </c>
      <c r="AA180">
        <v>1471718271</v>
      </c>
      <c r="AB180">
        <f>ROUND((AC180+AD180+AF180),6)</f>
        <v>235.12479999999999</v>
      </c>
      <c r="AC180">
        <f>ROUND((ES180),6)</f>
        <v>1.26</v>
      </c>
      <c r="AD180">
        <f>ROUND((((ET180)-(EU180))+AE180),6)</f>
        <v>0</v>
      </c>
      <c r="AE180">
        <f>ROUND((EU180),6)</f>
        <v>0</v>
      </c>
      <c r="AF180">
        <f>ROUND(((EV180*1.04)),6)</f>
        <v>233.8648</v>
      </c>
      <c r="AG180">
        <f>ROUND((AP180),6)</f>
        <v>0</v>
      </c>
      <c r="AH180">
        <f>((EW180*1.04))</f>
        <v>0.41600000000000004</v>
      </c>
      <c r="AI180">
        <f>(EX180)</f>
        <v>0</v>
      </c>
      <c r="AJ180">
        <f>(AS180)</f>
        <v>0</v>
      </c>
      <c r="AK180">
        <v>226.13</v>
      </c>
      <c r="AL180">
        <v>1.26</v>
      </c>
      <c r="AM180">
        <v>0</v>
      </c>
      <c r="AN180">
        <v>0</v>
      </c>
      <c r="AO180">
        <v>224.87</v>
      </c>
      <c r="AP180">
        <v>0</v>
      </c>
      <c r="AQ180">
        <v>0.4</v>
      </c>
      <c r="AR180">
        <v>0</v>
      </c>
      <c r="AS180">
        <v>0</v>
      </c>
      <c r="AT180">
        <v>70</v>
      </c>
      <c r="AU180">
        <v>10</v>
      </c>
      <c r="AV180">
        <v>1</v>
      </c>
      <c r="AW180">
        <v>1</v>
      </c>
      <c r="AZ180">
        <v>1</v>
      </c>
      <c r="BA180">
        <v>1</v>
      </c>
      <c r="BB180">
        <v>1</v>
      </c>
      <c r="BC180">
        <v>1</v>
      </c>
      <c r="BD180" t="s">
        <v>3</v>
      </c>
      <c r="BE180" t="s">
        <v>3</v>
      </c>
      <c r="BF180" t="s">
        <v>3</v>
      </c>
      <c r="BG180" t="s">
        <v>3</v>
      </c>
      <c r="BH180">
        <v>0</v>
      </c>
      <c r="BI180">
        <v>4</v>
      </c>
      <c r="BJ180" t="s">
        <v>229</v>
      </c>
      <c r="BM180">
        <v>0</v>
      </c>
      <c r="BN180">
        <v>0</v>
      </c>
      <c r="BO180" t="s">
        <v>3</v>
      </c>
      <c r="BP180">
        <v>0</v>
      </c>
      <c r="BQ180">
        <v>1</v>
      </c>
      <c r="BR180">
        <v>0</v>
      </c>
      <c r="BS180">
        <v>1</v>
      </c>
      <c r="BT180">
        <v>1</v>
      </c>
      <c r="BU180">
        <v>1</v>
      </c>
      <c r="BV180">
        <v>1</v>
      </c>
      <c r="BW180">
        <v>1</v>
      </c>
      <c r="BX180">
        <v>1</v>
      </c>
      <c r="BY180" t="s">
        <v>3</v>
      </c>
      <c r="BZ180">
        <v>70</v>
      </c>
      <c r="CA180">
        <v>10</v>
      </c>
      <c r="CB180" t="s">
        <v>3</v>
      </c>
      <c r="CE180">
        <v>0</v>
      </c>
      <c r="CF180">
        <v>0</v>
      </c>
      <c r="CG180">
        <v>0</v>
      </c>
      <c r="CM180">
        <v>0</v>
      </c>
      <c r="CN180" t="s">
        <v>230</v>
      </c>
      <c r="CO180">
        <v>0</v>
      </c>
      <c r="CP180">
        <f>(P180+Q180+S180)</f>
        <v>26333.98</v>
      </c>
      <c r="CQ180">
        <f>(AC180*BC180*AW180)</f>
        <v>1.26</v>
      </c>
      <c r="CR180">
        <f>((((ET180)*BB180-(EU180)*BS180)+AE180*BS180)*AV180)</f>
        <v>0</v>
      </c>
      <c r="CS180">
        <f>(AE180*BS180*AV180)</f>
        <v>0</v>
      </c>
      <c r="CT180">
        <f>(AF180*BA180*AV180)</f>
        <v>233.8648</v>
      </c>
      <c r="CU180">
        <f>AG180</f>
        <v>0</v>
      </c>
      <c r="CV180">
        <f>(AH180*AV180)</f>
        <v>0.41600000000000004</v>
      </c>
      <c r="CW180">
        <f>AI180</f>
        <v>0</v>
      </c>
      <c r="CX180">
        <f>AJ180</f>
        <v>0</v>
      </c>
      <c r="CY180">
        <f>((S180*BZ180)/100)</f>
        <v>18335.002</v>
      </c>
      <c r="CZ180">
        <f>((S180*CA180)/100)</f>
        <v>2619.2860000000001</v>
      </c>
      <c r="DC180" t="s">
        <v>3</v>
      </c>
      <c r="DD180" t="s">
        <v>3</v>
      </c>
      <c r="DE180" t="s">
        <v>3</v>
      </c>
      <c r="DF180" t="s">
        <v>3</v>
      </c>
      <c r="DG180" t="s">
        <v>231</v>
      </c>
      <c r="DH180" t="s">
        <v>3</v>
      </c>
      <c r="DI180" t="s">
        <v>231</v>
      </c>
      <c r="DJ180" t="s">
        <v>3</v>
      </c>
      <c r="DK180" t="s">
        <v>3</v>
      </c>
      <c r="DL180" t="s">
        <v>3</v>
      </c>
      <c r="DM180" t="s">
        <v>3</v>
      </c>
      <c r="DN180">
        <v>0</v>
      </c>
      <c r="DO180">
        <v>0</v>
      </c>
      <c r="DP180">
        <v>1</v>
      </c>
      <c r="DQ180">
        <v>1</v>
      </c>
      <c r="DU180">
        <v>16987630</v>
      </c>
      <c r="DV180" t="s">
        <v>36</v>
      </c>
      <c r="DW180" t="s">
        <v>36</v>
      </c>
      <c r="DX180">
        <v>1</v>
      </c>
      <c r="DZ180" t="s">
        <v>3</v>
      </c>
      <c r="EA180" t="s">
        <v>3</v>
      </c>
      <c r="EB180" t="s">
        <v>3</v>
      </c>
      <c r="EC180" t="s">
        <v>3</v>
      </c>
      <c r="EE180">
        <v>1441815344</v>
      </c>
      <c r="EF180">
        <v>1</v>
      </c>
      <c r="EG180" t="s">
        <v>21</v>
      </c>
      <c r="EH180">
        <v>0</v>
      </c>
      <c r="EI180" t="s">
        <v>3</v>
      </c>
      <c r="EJ180">
        <v>4</v>
      </c>
      <c r="EK180">
        <v>0</v>
      </c>
      <c r="EL180" t="s">
        <v>22</v>
      </c>
      <c r="EM180" t="s">
        <v>23</v>
      </c>
      <c r="EO180" t="s">
        <v>232</v>
      </c>
      <c r="EQ180">
        <v>768</v>
      </c>
      <c r="ER180">
        <v>226.13</v>
      </c>
      <c r="ES180">
        <v>1.26</v>
      </c>
      <c r="ET180">
        <v>0</v>
      </c>
      <c r="EU180">
        <v>0</v>
      </c>
      <c r="EV180">
        <v>224.87</v>
      </c>
      <c r="EW180">
        <v>0.4</v>
      </c>
      <c r="EX180">
        <v>0</v>
      </c>
      <c r="EY180">
        <v>0</v>
      </c>
      <c r="FQ180">
        <v>0</v>
      </c>
      <c r="FR180">
        <f>ROUND(IF(BI180=3,GM180,0),2)</f>
        <v>0</v>
      </c>
      <c r="FS180">
        <v>0</v>
      </c>
      <c r="FX180">
        <v>70</v>
      </c>
      <c r="FY180">
        <v>10</v>
      </c>
      <c r="GA180" t="s">
        <v>3</v>
      </c>
      <c r="GD180">
        <v>0</v>
      </c>
      <c r="GF180">
        <v>-1193417237</v>
      </c>
      <c r="GG180">
        <v>2</v>
      </c>
      <c r="GH180">
        <v>1</v>
      </c>
      <c r="GI180">
        <v>-2</v>
      </c>
      <c r="GJ180">
        <v>0</v>
      </c>
      <c r="GK180">
        <f>ROUND(R180*(R12)/100,2)</f>
        <v>0</v>
      </c>
      <c r="GL180">
        <f>ROUND(IF(AND(BH180=3,BI180=3,FS180&lt;&gt;0),P180,0),2)</f>
        <v>0</v>
      </c>
      <c r="GM180">
        <f>ROUND(O180+X180+Y180+GK180,2)+GX180</f>
        <v>47288.27</v>
      </c>
      <c r="GN180">
        <f>IF(OR(BI180=0,BI180=1),GM180-GX180,0)</f>
        <v>0</v>
      </c>
      <c r="GO180">
        <f>IF(BI180=2,GM180-GX180,0)</f>
        <v>0</v>
      </c>
      <c r="GP180">
        <f>IF(BI180=4,GM180-GX180,0)</f>
        <v>47288.27</v>
      </c>
      <c r="GR180">
        <v>0</v>
      </c>
      <c r="GS180">
        <v>3</v>
      </c>
      <c r="GT180">
        <v>0</v>
      </c>
      <c r="GU180" t="s">
        <v>3</v>
      </c>
      <c r="GV180">
        <f>ROUND((GT180),6)</f>
        <v>0</v>
      </c>
      <c r="GW180">
        <v>1</v>
      </c>
      <c r="GX180">
        <f>ROUND(HC180*I180,2)</f>
        <v>0</v>
      </c>
      <c r="HA180">
        <v>0</v>
      </c>
      <c r="HB180">
        <v>0</v>
      </c>
      <c r="HC180">
        <f>GV180*GW180</f>
        <v>0</v>
      </c>
      <c r="HE180" t="s">
        <v>3</v>
      </c>
      <c r="HF180" t="s">
        <v>3</v>
      </c>
      <c r="HM180" t="s">
        <v>3</v>
      </c>
      <c r="HN180" t="s">
        <v>3</v>
      </c>
      <c r="HO180" t="s">
        <v>3</v>
      </c>
      <c r="HP180" t="s">
        <v>3</v>
      </c>
      <c r="HQ180" t="s">
        <v>3</v>
      </c>
      <c r="IK180">
        <v>0</v>
      </c>
    </row>
    <row r="181" spans="1:245" x14ac:dyDescent="0.2">
      <c r="A181">
        <v>17</v>
      </c>
      <c r="B181">
        <v>1</v>
      </c>
      <c r="D181">
        <f>ROW(EtalonRes!A99)</f>
        <v>99</v>
      </c>
      <c r="E181" t="s">
        <v>233</v>
      </c>
      <c r="F181" t="s">
        <v>234</v>
      </c>
      <c r="G181" t="s">
        <v>235</v>
      </c>
      <c r="H181" t="s">
        <v>36</v>
      </c>
      <c r="I181">
        <f>ROUND((2)*7,9)</f>
        <v>14</v>
      </c>
      <c r="J181">
        <v>0</v>
      </c>
      <c r="K181">
        <f>ROUND((2)*7,9)</f>
        <v>14</v>
      </c>
      <c r="O181">
        <f>ROUND(CP181,2)</f>
        <v>2464.36</v>
      </c>
      <c r="P181">
        <f>ROUND(CQ181*I181,2)</f>
        <v>8.82</v>
      </c>
      <c r="Q181">
        <f>ROUND(CR181*I181,2)</f>
        <v>0</v>
      </c>
      <c r="R181">
        <f>ROUND(CS181*I181,2)</f>
        <v>0</v>
      </c>
      <c r="S181">
        <f>ROUND(CT181*I181,2)</f>
        <v>2455.54</v>
      </c>
      <c r="T181">
        <f>ROUND(CU181*I181,2)</f>
        <v>0</v>
      </c>
      <c r="U181">
        <f>CV181*I181</f>
        <v>4.3680000000000003</v>
      </c>
      <c r="V181">
        <f>CW181*I181</f>
        <v>0</v>
      </c>
      <c r="W181">
        <f>ROUND(CX181*I181,2)</f>
        <v>0</v>
      </c>
      <c r="X181">
        <f>ROUND(CY181,2)</f>
        <v>1718.88</v>
      </c>
      <c r="Y181">
        <f>ROUND(CZ181,2)</f>
        <v>245.55</v>
      </c>
      <c r="AA181">
        <v>1471718271</v>
      </c>
      <c r="AB181">
        <f>ROUND((AC181+AD181+AF181),6)</f>
        <v>176.02600000000001</v>
      </c>
      <c r="AC181">
        <f>ROUND((ES181),6)</f>
        <v>0.63</v>
      </c>
      <c r="AD181">
        <f>ROUND((((ET181)-(EU181))+AE181),6)</f>
        <v>0</v>
      </c>
      <c r="AE181">
        <f>ROUND((EU181),6)</f>
        <v>0</v>
      </c>
      <c r="AF181">
        <f>ROUND(((EV181*1.04)),6)</f>
        <v>175.39599999999999</v>
      </c>
      <c r="AG181">
        <f>ROUND((AP181),6)</f>
        <v>0</v>
      </c>
      <c r="AH181">
        <f>((EW181*1.04))</f>
        <v>0.312</v>
      </c>
      <c r="AI181">
        <f>(EX181)</f>
        <v>0</v>
      </c>
      <c r="AJ181">
        <f>(AS181)</f>
        <v>0</v>
      </c>
      <c r="AK181">
        <v>169.28</v>
      </c>
      <c r="AL181">
        <v>0.63</v>
      </c>
      <c r="AM181">
        <v>0</v>
      </c>
      <c r="AN181">
        <v>0</v>
      </c>
      <c r="AO181">
        <v>168.65</v>
      </c>
      <c r="AP181">
        <v>0</v>
      </c>
      <c r="AQ181">
        <v>0.3</v>
      </c>
      <c r="AR181">
        <v>0</v>
      </c>
      <c r="AS181">
        <v>0</v>
      </c>
      <c r="AT181">
        <v>70</v>
      </c>
      <c r="AU181">
        <v>10</v>
      </c>
      <c r="AV181">
        <v>1</v>
      </c>
      <c r="AW181">
        <v>1</v>
      </c>
      <c r="AZ181">
        <v>1</v>
      </c>
      <c r="BA181">
        <v>1</v>
      </c>
      <c r="BB181">
        <v>1</v>
      </c>
      <c r="BC181">
        <v>1</v>
      </c>
      <c r="BD181" t="s">
        <v>3</v>
      </c>
      <c r="BE181" t="s">
        <v>3</v>
      </c>
      <c r="BF181" t="s">
        <v>3</v>
      </c>
      <c r="BG181" t="s">
        <v>3</v>
      </c>
      <c r="BH181">
        <v>0</v>
      </c>
      <c r="BI181">
        <v>4</v>
      </c>
      <c r="BJ181" t="s">
        <v>236</v>
      </c>
      <c r="BM181">
        <v>0</v>
      </c>
      <c r="BN181">
        <v>0</v>
      </c>
      <c r="BO181" t="s">
        <v>3</v>
      </c>
      <c r="BP181">
        <v>0</v>
      </c>
      <c r="BQ181">
        <v>1</v>
      </c>
      <c r="BR181">
        <v>0</v>
      </c>
      <c r="BS181">
        <v>1</v>
      </c>
      <c r="BT181">
        <v>1</v>
      </c>
      <c r="BU181">
        <v>1</v>
      </c>
      <c r="BV181">
        <v>1</v>
      </c>
      <c r="BW181">
        <v>1</v>
      </c>
      <c r="BX181">
        <v>1</v>
      </c>
      <c r="BY181" t="s">
        <v>3</v>
      </c>
      <c r="BZ181">
        <v>70</v>
      </c>
      <c r="CA181">
        <v>10</v>
      </c>
      <c r="CB181" t="s">
        <v>3</v>
      </c>
      <c r="CE181">
        <v>0</v>
      </c>
      <c r="CF181">
        <v>0</v>
      </c>
      <c r="CG181">
        <v>0</v>
      </c>
      <c r="CM181">
        <v>0</v>
      </c>
      <c r="CN181" t="s">
        <v>230</v>
      </c>
      <c r="CO181">
        <v>0</v>
      </c>
      <c r="CP181">
        <f>(P181+Q181+S181)</f>
        <v>2464.36</v>
      </c>
      <c r="CQ181">
        <f>(AC181*BC181*AW181)</f>
        <v>0.63</v>
      </c>
      <c r="CR181">
        <f>((((ET181)*BB181-(EU181)*BS181)+AE181*BS181)*AV181)</f>
        <v>0</v>
      </c>
      <c r="CS181">
        <f>(AE181*BS181*AV181)</f>
        <v>0</v>
      </c>
      <c r="CT181">
        <f>(AF181*BA181*AV181)</f>
        <v>175.39599999999999</v>
      </c>
      <c r="CU181">
        <f>AG181</f>
        <v>0</v>
      </c>
      <c r="CV181">
        <f>(AH181*AV181)</f>
        <v>0.312</v>
      </c>
      <c r="CW181">
        <f>AI181</f>
        <v>0</v>
      </c>
      <c r="CX181">
        <f>AJ181</f>
        <v>0</v>
      </c>
      <c r="CY181">
        <f>((S181*BZ181)/100)</f>
        <v>1718.8779999999999</v>
      </c>
      <c r="CZ181">
        <f>((S181*CA181)/100)</f>
        <v>245.554</v>
      </c>
      <c r="DC181" t="s">
        <v>3</v>
      </c>
      <c r="DD181" t="s">
        <v>3</v>
      </c>
      <c r="DE181" t="s">
        <v>3</v>
      </c>
      <c r="DF181" t="s">
        <v>3</v>
      </c>
      <c r="DG181" t="s">
        <v>231</v>
      </c>
      <c r="DH181" t="s">
        <v>3</v>
      </c>
      <c r="DI181" t="s">
        <v>231</v>
      </c>
      <c r="DJ181" t="s">
        <v>3</v>
      </c>
      <c r="DK181" t="s">
        <v>3</v>
      </c>
      <c r="DL181" t="s">
        <v>3</v>
      </c>
      <c r="DM181" t="s">
        <v>3</v>
      </c>
      <c r="DN181">
        <v>0</v>
      </c>
      <c r="DO181">
        <v>0</v>
      </c>
      <c r="DP181">
        <v>1</v>
      </c>
      <c r="DQ181">
        <v>1</v>
      </c>
      <c r="DU181">
        <v>16987630</v>
      </c>
      <c r="DV181" t="s">
        <v>36</v>
      </c>
      <c r="DW181" t="s">
        <v>36</v>
      </c>
      <c r="DX181">
        <v>1</v>
      </c>
      <c r="DZ181" t="s">
        <v>3</v>
      </c>
      <c r="EA181" t="s">
        <v>3</v>
      </c>
      <c r="EB181" t="s">
        <v>3</v>
      </c>
      <c r="EC181" t="s">
        <v>3</v>
      </c>
      <c r="EE181">
        <v>1441815344</v>
      </c>
      <c r="EF181">
        <v>1</v>
      </c>
      <c r="EG181" t="s">
        <v>21</v>
      </c>
      <c r="EH181">
        <v>0</v>
      </c>
      <c r="EI181" t="s">
        <v>3</v>
      </c>
      <c r="EJ181">
        <v>4</v>
      </c>
      <c r="EK181">
        <v>0</v>
      </c>
      <c r="EL181" t="s">
        <v>22</v>
      </c>
      <c r="EM181" t="s">
        <v>23</v>
      </c>
      <c r="EO181" t="s">
        <v>232</v>
      </c>
      <c r="EQ181">
        <v>768</v>
      </c>
      <c r="ER181">
        <v>169.28</v>
      </c>
      <c r="ES181">
        <v>0.63</v>
      </c>
      <c r="ET181">
        <v>0</v>
      </c>
      <c r="EU181">
        <v>0</v>
      </c>
      <c r="EV181">
        <v>168.65</v>
      </c>
      <c r="EW181">
        <v>0.3</v>
      </c>
      <c r="EX181">
        <v>0</v>
      </c>
      <c r="EY181">
        <v>0</v>
      </c>
      <c r="FQ181">
        <v>0</v>
      </c>
      <c r="FR181">
        <f>ROUND(IF(BI181=3,GM181,0),2)</f>
        <v>0</v>
      </c>
      <c r="FS181">
        <v>0</v>
      </c>
      <c r="FX181">
        <v>70</v>
      </c>
      <c r="FY181">
        <v>10</v>
      </c>
      <c r="GA181" t="s">
        <v>3</v>
      </c>
      <c r="GD181">
        <v>0</v>
      </c>
      <c r="GF181">
        <v>192004803</v>
      </c>
      <c r="GG181">
        <v>2</v>
      </c>
      <c r="GH181">
        <v>1</v>
      </c>
      <c r="GI181">
        <v>-2</v>
      </c>
      <c r="GJ181">
        <v>0</v>
      </c>
      <c r="GK181">
        <f>ROUND(R181*(R12)/100,2)</f>
        <v>0</v>
      </c>
      <c r="GL181">
        <f>ROUND(IF(AND(BH181=3,BI181=3,FS181&lt;&gt;0),P181,0),2)</f>
        <v>0</v>
      </c>
      <c r="GM181">
        <f>ROUND(O181+X181+Y181+GK181,2)+GX181</f>
        <v>4428.79</v>
      </c>
      <c r="GN181">
        <f>IF(OR(BI181=0,BI181=1),GM181-GX181,0)</f>
        <v>0</v>
      </c>
      <c r="GO181">
        <f>IF(BI181=2,GM181-GX181,0)</f>
        <v>0</v>
      </c>
      <c r="GP181">
        <f>IF(BI181=4,GM181-GX181,0)</f>
        <v>4428.79</v>
      </c>
      <c r="GR181">
        <v>0</v>
      </c>
      <c r="GS181">
        <v>3</v>
      </c>
      <c r="GT181">
        <v>0</v>
      </c>
      <c r="GU181" t="s">
        <v>3</v>
      </c>
      <c r="GV181">
        <f>ROUND((GT181),6)</f>
        <v>0</v>
      </c>
      <c r="GW181">
        <v>1</v>
      </c>
      <c r="GX181">
        <f>ROUND(HC181*I181,2)</f>
        <v>0</v>
      </c>
      <c r="HA181">
        <v>0</v>
      </c>
      <c r="HB181">
        <v>0</v>
      </c>
      <c r="HC181">
        <f>GV181*GW181</f>
        <v>0</v>
      </c>
      <c r="HE181" t="s">
        <v>3</v>
      </c>
      <c r="HF181" t="s">
        <v>3</v>
      </c>
      <c r="HM181" t="s">
        <v>3</v>
      </c>
      <c r="HN181" t="s">
        <v>3</v>
      </c>
      <c r="HO181" t="s">
        <v>3</v>
      </c>
      <c r="HP181" t="s">
        <v>3</v>
      </c>
      <c r="HQ181" t="s">
        <v>3</v>
      </c>
      <c r="IK181">
        <v>0</v>
      </c>
    </row>
    <row r="182" spans="1:245" x14ac:dyDescent="0.2">
      <c r="A182">
        <v>19</v>
      </c>
      <c r="B182">
        <v>1</v>
      </c>
      <c r="F182" t="s">
        <v>3</v>
      </c>
      <c r="G182" t="s">
        <v>237</v>
      </c>
      <c r="H182" t="s">
        <v>3</v>
      </c>
      <c r="AA182">
        <v>1</v>
      </c>
      <c r="IK182">
        <v>0</v>
      </c>
    </row>
    <row r="183" spans="1:245" x14ac:dyDescent="0.2">
      <c r="A183">
        <v>17</v>
      </c>
      <c r="B183">
        <v>1</v>
      </c>
      <c r="D183">
        <f>ROW(EtalonRes!A102)</f>
        <v>102</v>
      </c>
      <c r="E183" t="s">
        <v>238</v>
      </c>
      <c r="F183" t="s">
        <v>239</v>
      </c>
      <c r="G183" t="s">
        <v>240</v>
      </c>
      <c r="H183" t="s">
        <v>53</v>
      </c>
      <c r="I183">
        <f>ROUND((4*17)/100,9)</f>
        <v>0.68</v>
      </c>
      <c r="J183">
        <v>0</v>
      </c>
      <c r="K183">
        <f>ROUND((4*17)/100,9)</f>
        <v>0.68</v>
      </c>
      <c r="O183">
        <f t="shared" ref="O183:O188" si="161">ROUND(CP183,2)</f>
        <v>11219.84</v>
      </c>
      <c r="P183">
        <f t="shared" ref="P183:P188" si="162">ROUND(CQ183*I183,2)</f>
        <v>2.56</v>
      </c>
      <c r="Q183">
        <f t="shared" ref="Q183:Q188" si="163">ROUND(CR183*I183,2)</f>
        <v>2480.94</v>
      </c>
      <c r="R183">
        <f t="shared" ref="R183:R188" si="164">ROUND(CS183*I183,2)</f>
        <v>1573.08</v>
      </c>
      <c r="S183">
        <f t="shared" ref="S183:S188" si="165">ROUND(CT183*I183,2)</f>
        <v>8736.34</v>
      </c>
      <c r="T183">
        <f t="shared" ref="T183:T188" si="166">ROUND(CU183*I183,2)</f>
        <v>0</v>
      </c>
      <c r="U183">
        <f t="shared" ref="U183:U188" si="167">CV183*I183</f>
        <v>16.32</v>
      </c>
      <c r="V183">
        <f t="shared" ref="V183:V188" si="168">CW183*I183</f>
        <v>0</v>
      </c>
      <c r="W183">
        <f t="shared" ref="W183:W188" si="169">ROUND(CX183*I183,2)</f>
        <v>0</v>
      </c>
      <c r="X183">
        <f t="shared" ref="X183:Y188" si="170">ROUND(CY183,2)</f>
        <v>6115.44</v>
      </c>
      <c r="Y183">
        <f t="shared" si="170"/>
        <v>873.63</v>
      </c>
      <c r="AA183">
        <v>1471718271</v>
      </c>
      <c r="AB183">
        <f t="shared" ref="AB183:AB188" si="171">ROUND((AC183+AD183+AF183),6)</f>
        <v>16499.759999999998</v>
      </c>
      <c r="AC183">
        <f>ROUND(((ES183*4)),6)</f>
        <v>3.76</v>
      </c>
      <c r="AD183">
        <f>ROUND(((((ET183*4))-((EU183*4)))+AE183),6)</f>
        <v>3648.44</v>
      </c>
      <c r="AE183">
        <f>ROUND(((EU183*4)),6)</f>
        <v>2313.36</v>
      </c>
      <c r="AF183">
        <f>ROUND(((EV183*4)),6)</f>
        <v>12847.56</v>
      </c>
      <c r="AG183">
        <f t="shared" ref="AG183:AG188" si="172">ROUND((AP183),6)</f>
        <v>0</v>
      </c>
      <c r="AH183">
        <f>((EW183*4))</f>
        <v>24</v>
      </c>
      <c r="AI183">
        <f>((EX183*4))</f>
        <v>0</v>
      </c>
      <c r="AJ183">
        <f t="shared" ref="AJ183:AJ188" si="173">(AS183)</f>
        <v>0</v>
      </c>
      <c r="AK183">
        <v>4124.9399999999996</v>
      </c>
      <c r="AL183">
        <v>0.94</v>
      </c>
      <c r="AM183">
        <v>912.11</v>
      </c>
      <c r="AN183">
        <v>578.34</v>
      </c>
      <c r="AO183">
        <v>3211.89</v>
      </c>
      <c r="AP183">
        <v>0</v>
      </c>
      <c r="AQ183">
        <v>6</v>
      </c>
      <c r="AR183">
        <v>0</v>
      </c>
      <c r="AS183">
        <v>0</v>
      </c>
      <c r="AT183">
        <v>70</v>
      </c>
      <c r="AU183">
        <v>10</v>
      </c>
      <c r="AV183">
        <v>1</v>
      </c>
      <c r="AW183">
        <v>1</v>
      </c>
      <c r="AZ183">
        <v>1</v>
      </c>
      <c r="BA183">
        <v>1</v>
      </c>
      <c r="BB183">
        <v>1</v>
      </c>
      <c r="BC183">
        <v>1</v>
      </c>
      <c r="BD183" t="s">
        <v>3</v>
      </c>
      <c r="BE183" t="s">
        <v>3</v>
      </c>
      <c r="BF183" t="s">
        <v>3</v>
      </c>
      <c r="BG183" t="s">
        <v>3</v>
      </c>
      <c r="BH183">
        <v>0</v>
      </c>
      <c r="BI183">
        <v>4</v>
      </c>
      <c r="BJ183" t="s">
        <v>241</v>
      </c>
      <c r="BM183">
        <v>0</v>
      </c>
      <c r="BN183">
        <v>0</v>
      </c>
      <c r="BO183" t="s">
        <v>3</v>
      </c>
      <c r="BP183">
        <v>0</v>
      </c>
      <c r="BQ183">
        <v>1</v>
      </c>
      <c r="BR183">
        <v>0</v>
      </c>
      <c r="BS183">
        <v>1</v>
      </c>
      <c r="BT183">
        <v>1</v>
      </c>
      <c r="BU183">
        <v>1</v>
      </c>
      <c r="BV183">
        <v>1</v>
      </c>
      <c r="BW183">
        <v>1</v>
      </c>
      <c r="BX183">
        <v>1</v>
      </c>
      <c r="BY183" t="s">
        <v>3</v>
      </c>
      <c r="BZ183">
        <v>70</v>
      </c>
      <c r="CA183">
        <v>10</v>
      </c>
      <c r="CB183" t="s">
        <v>3</v>
      </c>
      <c r="CE183">
        <v>0</v>
      </c>
      <c r="CF183">
        <v>0</v>
      </c>
      <c r="CG183">
        <v>0</v>
      </c>
      <c r="CM183">
        <v>0</v>
      </c>
      <c r="CN183" t="s">
        <v>3</v>
      </c>
      <c r="CO183">
        <v>0</v>
      </c>
      <c r="CP183">
        <f t="shared" ref="CP183:CP188" si="174">(P183+Q183+S183)</f>
        <v>11219.84</v>
      </c>
      <c r="CQ183">
        <f t="shared" ref="CQ183:CQ188" si="175">(AC183*BC183*AW183)</f>
        <v>3.76</v>
      </c>
      <c r="CR183">
        <f>(((((ET183*4))*BB183-((EU183*4))*BS183)+AE183*BS183)*AV183)</f>
        <v>3648.44</v>
      </c>
      <c r="CS183">
        <f t="shared" ref="CS183:CS188" si="176">(AE183*BS183*AV183)</f>
        <v>2313.36</v>
      </c>
      <c r="CT183">
        <f t="shared" ref="CT183:CT188" si="177">(AF183*BA183*AV183)</f>
        <v>12847.56</v>
      </c>
      <c r="CU183">
        <f t="shared" ref="CU183:CU188" si="178">AG183</f>
        <v>0</v>
      </c>
      <c r="CV183">
        <f t="shared" ref="CV183:CV188" si="179">(AH183*AV183)</f>
        <v>24</v>
      </c>
      <c r="CW183">
        <f t="shared" ref="CW183:CX188" si="180">AI183</f>
        <v>0</v>
      </c>
      <c r="CX183">
        <f t="shared" si="180"/>
        <v>0</v>
      </c>
      <c r="CY183">
        <f t="shared" ref="CY183:CY188" si="181">((S183*BZ183)/100)</f>
        <v>6115.4380000000001</v>
      </c>
      <c r="CZ183">
        <f t="shared" ref="CZ183:CZ188" si="182">((S183*CA183)/100)</f>
        <v>873.6339999999999</v>
      </c>
      <c r="DC183" t="s">
        <v>3</v>
      </c>
      <c r="DD183" t="s">
        <v>20</v>
      </c>
      <c r="DE183" t="s">
        <v>20</v>
      </c>
      <c r="DF183" t="s">
        <v>20</v>
      </c>
      <c r="DG183" t="s">
        <v>20</v>
      </c>
      <c r="DH183" t="s">
        <v>3</v>
      </c>
      <c r="DI183" t="s">
        <v>20</v>
      </c>
      <c r="DJ183" t="s">
        <v>20</v>
      </c>
      <c r="DK183" t="s">
        <v>3</v>
      </c>
      <c r="DL183" t="s">
        <v>3</v>
      </c>
      <c r="DM183" t="s">
        <v>3</v>
      </c>
      <c r="DN183">
        <v>0</v>
      </c>
      <c r="DO183">
        <v>0</v>
      </c>
      <c r="DP183">
        <v>1</v>
      </c>
      <c r="DQ183">
        <v>1</v>
      </c>
      <c r="DU183">
        <v>16987630</v>
      </c>
      <c r="DV183" t="s">
        <v>53</v>
      </c>
      <c r="DW183" t="s">
        <v>53</v>
      </c>
      <c r="DX183">
        <v>100</v>
      </c>
      <c r="DZ183" t="s">
        <v>3</v>
      </c>
      <c r="EA183" t="s">
        <v>3</v>
      </c>
      <c r="EB183" t="s">
        <v>3</v>
      </c>
      <c r="EC183" t="s">
        <v>3</v>
      </c>
      <c r="EE183">
        <v>1441815344</v>
      </c>
      <c r="EF183">
        <v>1</v>
      </c>
      <c r="EG183" t="s">
        <v>21</v>
      </c>
      <c r="EH183">
        <v>0</v>
      </c>
      <c r="EI183" t="s">
        <v>3</v>
      </c>
      <c r="EJ183">
        <v>4</v>
      </c>
      <c r="EK183">
        <v>0</v>
      </c>
      <c r="EL183" t="s">
        <v>22</v>
      </c>
      <c r="EM183" t="s">
        <v>23</v>
      </c>
      <c r="EO183" t="s">
        <v>3</v>
      </c>
      <c r="EQ183">
        <v>0</v>
      </c>
      <c r="ER183">
        <v>4124.9399999999996</v>
      </c>
      <c r="ES183">
        <v>0.94</v>
      </c>
      <c r="ET183">
        <v>912.11</v>
      </c>
      <c r="EU183">
        <v>578.34</v>
      </c>
      <c r="EV183">
        <v>3211.89</v>
      </c>
      <c r="EW183">
        <v>6</v>
      </c>
      <c r="EX183">
        <v>0</v>
      </c>
      <c r="EY183">
        <v>0</v>
      </c>
      <c r="FQ183">
        <v>0</v>
      </c>
      <c r="FR183">
        <f t="shared" ref="FR183:FR188" si="183">ROUND(IF(BI183=3,GM183,0),2)</f>
        <v>0</v>
      </c>
      <c r="FS183">
        <v>0</v>
      </c>
      <c r="FX183">
        <v>70</v>
      </c>
      <c r="FY183">
        <v>10</v>
      </c>
      <c r="GA183" t="s">
        <v>3</v>
      </c>
      <c r="GD183">
        <v>0</v>
      </c>
      <c r="GF183">
        <v>-619298933</v>
      </c>
      <c r="GG183">
        <v>2</v>
      </c>
      <c r="GH183">
        <v>1</v>
      </c>
      <c r="GI183">
        <v>-2</v>
      </c>
      <c r="GJ183">
        <v>0</v>
      </c>
      <c r="GK183">
        <f>ROUND(R183*(R12)/100,2)</f>
        <v>1698.93</v>
      </c>
      <c r="GL183">
        <f t="shared" ref="GL183:GL188" si="184">ROUND(IF(AND(BH183=3,BI183=3,FS183&lt;&gt;0),P183,0),2)</f>
        <v>0</v>
      </c>
      <c r="GM183">
        <f t="shared" ref="GM183:GM188" si="185">ROUND(O183+X183+Y183+GK183,2)+GX183</f>
        <v>19907.84</v>
      </c>
      <c r="GN183">
        <f t="shared" ref="GN183:GN188" si="186">IF(OR(BI183=0,BI183=1),GM183-GX183,0)</f>
        <v>0</v>
      </c>
      <c r="GO183">
        <f t="shared" ref="GO183:GO188" si="187">IF(BI183=2,GM183-GX183,0)</f>
        <v>0</v>
      </c>
      <c r="GP183">
        <f t="shared" ref="GP183:GP188" si="188">IF(BI183=4,GM183-GX183,0)</f>
        <v>19907.84</v>
      </c>
      <c r="GR183">
        <v>0</v>
      </c>
      <c r="GS183">
        <v>3</v>
      </c>
      <c r="GT183">
        <v>0</v>
      </c>
      <c r="GU183" t="s">
        <v>3</v>
      </c>
      <c r="GV183">
        <f t="shared" ref="GV183:GV188" si="189">ROUND((GT183),6)</f>
        <v>0</v>
      </c>
      <c r="GW183">
        <v>1</v>
      </c>
      <c r="GX183">
        <f t="shared" ref="GX183:GX188" si="190">ROUND(HC183*I183,2)</f>
        <v>0</v>
      </c>
      <c r="HA183">
        <v>0</v>
      </c>
      <c r="HB183">
        <v>0</v>
      </c>
      <c r="HC183">
        <f t="shared" ref="HC183:HC188" si="191">GV183*GW183</f>
        <v>0</v>
      </c>
      <c r="HE183" t="s">
        <v>3</v>
      </c>
      <c r="HF183" t="s">
        <v>3</v>
      </c>
      <c r="HM183" t="s">
        <v>3</v>
      </c>
      <c r="HN183" t="s">
        <v>3</v>
      </c>
      <c r="HO183" t="s">
        <v>3</v>
      </c>
      <c r="HP183" t="s">
        <v>3</v>
      </c>
      <c r="HQ183" t="s">
        <v>3</v>
      </c>
      <c r="IK183">
        <v>0</v>
      </c>
    </row>
    <row r="184" spans="1:245" x14ac:dyDescent="0.2">
      <c r="A184">
        <v>17</v>
      </c>
      <c r="B184">
        <v>1</v>
      </c>
      <c r="D184">
        <f>ROW(EtalonRes!A104)</f>
        <v>104</v>
      </c>
      <c r="E184" t="s">
        <v>3</v>
      </c>
      <c r="F184" t="s">
        <v>242</v>
      </c>
      <c r="G184" t="s">
        <v>243</v>
      </c>
      <c r="H184" t="s">
        <v>31</v>
      </c>
      <c r="I184">
        <f>ROUND((8*7)/10,9)</f>
        <v>5.6</v>
      </c>
      <c r="J184">
        <v>0</v>
      </c>
      <c r="K184">
        <f>ROUND((8*7)/10,9)</f>
        <v>5.6</v>
      </c>
      <c r="O184">
        <f t="shared" si="161"/>
        <v>1418.48</v>
      </c>
      <c r="P184">
        <f t="shared" si="162"/>
        <v>35.28</v>
      </c>
      <c r="Q184">
        <f t="shared" si="163"/>
        <v>0</v>
      </c>
      <c r="R184">
        <f t="shared" si="164"/>
        <v>0</v>
      </c>
      <c r="S184">
        <f t="shared" si="165"/>
        <v>1383.2</v>
      </c>
      <c r="T184">
        <f t="shared" si="166"/>
        <v>0</v>
      </c>
      <c r="U184">
        <f t="shared" si="167"/>
        <v>2.2399999999999998</v>
      </c>
      <c r="V184">
        <f t="shared" si="168"/>
        <v>0</v>
      </c>
      <c r="W184">
        <f t="shared" si="169"/>
        <v>0</v>
      </c>
      <c r="X184">
        <f t="shared" si="170"/>
        <v>968.24</v>
      </c>
      <c r="Y184">
        <f t="shared" si="170"/>
        <v>138.32</v>
      </c>
      <c r="AA184">
        <v>-1</v>
      </c>
      <c r="AB184">
        <f t="shared" si="171"/>
        <v>253.3</v>
      </c>
      <c r="AC184">
        <f>ROUND((ES184),6)</f>
        <v>6.3</v>
      </c>
      <c r="AD184">
        <f>ROUND((((ET184)-(EU184))+AE184),6)</f>
        <v>0</v>
      </c>
      <c r="AE184">
        <f>ROUND((EU184),6)</f>
        <v>0</v>
      </c>
      <c r="AF184">
        <f>ROUND((EV184),6)</f>
        <v>247</v>
      </c>
      <c r="AG184">
        <f t="shared" si="172"/>
        <v>0</v>
      </c>
      <c r="AH184">
        <f>(EW184)</f>
        <v>0.4</v>
      </c>
      <c r="AI184">
        <f>(EX184)</f>
        <v>0</v>
      </c>
      <c r="AJ184">
        <f t="shared" si="173"/>
        <v>0</v>
      </c>
      <c r="AK184">
        <v>253.3</v>
      </c>
      <c r="AL184">
        <v>6.3</v>
      </c>
      <c r="AM184">
        <v>0</v>
      </c>
      <c r="AN184">
        <v>0</v>
      </c>
      <c r="AO184">
        <v>247</v>
      </c>
      <c r="AP184">
        <v>0</v>
      </c>
      <c r="AQ184">
        <v>0.4</v>
      </c>
      <c r="AR184">
        <v>0</v>
      </c>
      <c r="AS184">
        <v>0</v>
      </c>
      <c r="AT184">
        <v>70</v>
      </c>
      <c r="AU184">
        <v>10</v>
      </c>
      <c r="AV184">
        <v>1</v>
      </c>
      <c r="AW184">
        <v>1</v>
      </c>
      <c r="AZ184">
        <v>1</v>
      </c>
      <c r="BA184">
        <v>1</v>
      </c>
      <c r="BB184">
        <v>1</v>
      </c>
      <c r="BC184">
        <v>1</v>
      </c>
      <c r="BD184" t="s">
        <v>3</v>
      </c>
      <c r="BE184" t="s">
        <v>3</v>
      </c>
      <c r="BF184" t="s">
        <v>3</v>
      </c>
      <c r="BG184" t="s">
        <v>3</v>
      </c>
      <c r="BH184">
        <v>0</v>
      </c>
      <c r="BI184">
        <v>4</v>
      </c>
      <c r="BJ184" t="s">
        <v>244</v>
      </c>
      <c r="BM184">
        <v>0</v>
      </c>
      <c r="BN184">
        <v>0</v>
      </c>
      <c r="BO184" t="s">
        <v>3</v>
      </c>
      <c r="BP184">
        <v>0</v>
      </c>
      <c r="BQ184">
        <v>1</v>
      </c>
      <c r="BR184">
        <v>0</v>
      </c>
      <c r="BS184">
        <v>1</v>
      </c>
      <c r="BT184">
        <v>1</v>
      </c>
      <c r="BU184">
        <v>1</v>
      </c>
      <c r="BV184">
        <v>1</v>
      </c>
      <c r="BW184">
        <v>1</v>
      </c>
      <c r="BX184">
        <v>1</v>
      </c>
      <c r="BY184" t="s">
        <v>3</v>
      </c>
      <c r="BZ184">
        <v>70</v>
      </c>
      <c r="CA184">
        <v>10</v>
      </c>
      <c r="CB184" t="s">
        <v>3</v>
      </c>
      <c r="CE184">
        <v>0</v>
      </c>
      <c r="CF184">
        <v>0</v>
      </c>
      <c r="CG184">
        <v>0</v>
      </c>
      <c r="CM184">
        <v>0</v>
      </c>
      <c r="CN184" t="s">
        <v>3</v>
      </c>
      <c r="CO184">
        <v>0</v>
      </c>
      <c r="CP184">
        <f t="shared" si="174"/>
        <v>1418.48</v>
      </c>
      <c r="CQ184">
        <f t="shared" si="175"/>
        <v>6.3</v>
      </c>
      <c r="CR184">
        <f>((((ET184)*BB184-(EU184)*BS184)+AE184*BS184)*AV184)</f>
        <v>0</v>
      </c>
      <c r="CS184">
        <f t="shared" si="176"/>
        <v>0</v>
      </c>
      <c r="CT184">
        <f t="shared" si="177"/>
        <v>247</v>
      </c>
      <c r="CU184">
        <f t="shared" si="178"/>
        <v>0</v>
      </c>
      <c r="CV184">
        <f t="shared" si="179"/>
        <v>0.4</v>
      </c>
      <c r="CW184">
        <f t="shared" si="180"/>
        <v>0</v>
      </c>
      <c r="CX184">
        <f t="shared" si="180"/>
        <v>0</v>
      </c>
      <c r="CY184">
        <f t="shared" si="181"/>
        <v>968.24</v>
      </c>
      <c r="CZ184">
        <f t="shared" si="182"/>
        <v>138.32</v>
      </c>
      <c r="DC184" t="s">
        <v>3</v>
      </c>
      <c r="DD184" t="s">
        <v>3</v>
      </c>
      <c r="DE184" t="s">
        <v>3</v>
      </c>
      <c r="DF184" t="s">
        <v>3</v>
      </c>
      <c r="DG184" t="s">
        <v>3</v>
      </c>
      <c r="DH184" t="s">
        <v>3</v>
      </c>
      <c r="DI184" t="s">
        <v>3</v>
      </c>
      <c r="DJ184" t="s">
        <v>3</v>
      </c>
      <c r="DK184" t="s">
        <v>3</v>
      </c>
      <c r="DL184" t="s">
        <v>3</v>
      </c>
      <c r="DM184" t="s">
        <v>3</v>
      </c>
      <c r="DN184">
        <v>0</v>
      </c>
      <c r="DO184">
        <v>0</v>
      </c>
      <c r="DP184">
        <v>1</v>
      </c>
      <c r="DQ184">
        <v>1</v>
      </c>
      <c r="DU184">
        <v>16987630</v>
      </c>
      <c r="DV184" t="s">
        <v>31</v>
      </c>
      <c r="DW184" t="s">
        <v>31</v>
      </c>
      <c r="DX184">
        <v>10</v>
      </c>
      <c r="DZ184" t="s">
        <v>3</v>
      </c>
      <c r="EA184" t="s">
        <v>3</v>
      </c>
      <c r="EB184" t="s">
        <v>3</v>
      </c>
      <c r="EC184" t="s">
        <v>3</v>
      </c>
      <c r="EE184">
        <v>1441815344</v>
      </c>
      <c r="EF184">
        <v>1</v>
      </c>
      <c r="EG184" t="s">
        <v>21</v>
      </c>
      <c r="EH184">
        <v>0</v>
      </c>
      <c r="EI184" t="s">
        <v>3</v>
      </c>
      <c r="EJ184">
        <v>4</v>
      </c>
      <c r="EK184">
        <v>0</v>
      </c>
      <c r="EL184" t="s">
        <v>22</v>
      </c>
      <c r="EM184" t="s">
        <v>23</v>
      </c>
      <c r="EO184" t="s">
        <v>3</v>
      </c>
      <c r="EQ184">
        <v>1024</v>
      </c>
      <c r="ER184">
        <v>253.3</v>
      </c>
      <c r="ES184">
        <v>6.3</v>
      </c>
      <c r="ET184">
        <v>0</v>
      </c>
      <c r="EU184">
        <v>0</v>
      </c>
      <c r="EV184">
        <v>247</v>
      </c>
      <c r="EW184">
        <v>0.4</v>
      </c>
      <c r="EX184">
        <v>0</v>
      </c>
      <c r="EY184">
        <v>0</v>
      </c>
      <c r="FQ184">
        <v>0</v>
      </c>
      <c r="FR184">
        <f t="shared" si="183"/>
        <v>0</v>
      </c>
      <c r="FS184">
        <v>0</v>
      </c>
      <c r="FX184">
        <v>70</v>
      </c>
      <c r="FY184">
        <v>10</v>
      </c>
      <c r="GA184" t="s">
        <v>3</v>
      </c>
      <c r="GD184">
        <v>0</v>
      </c>
      <c r="GF184">
        <v>526043079</v>
      </c>
      <c r="GG184">
        <v>2</v>
      </c>
      <c r="GH184">
        <v>1</v>
      </c>
      <c r="GI184">
        <v>-2</v>
      </c>
      <c r="GJ184">
        <v>0</v>
      </c>
      <c r="GK184">
        <f>ROUND(R184*(R12)/100,2)</f>
        <v>0</v>
      </c>
      <c r="GL184">
        <f t="shared" si="184"/>
        <v>0</v>
      </c>
      <c r="GM184">
        <f t="shared" si="185"/>
        <v>2525.04</v>
      </c>
      <c r="GN184">
        <f t="shared" si="186"/>
        <v>0</v>
      </c>
      <c r="GO184">
        <f t="shared" si="187"/>
        <v>0</v>
      </c>
      <c r="GP184">
        <f t="shared" si="188"/>
        <v>2525.04</v>
      </c>
      <c r="GR184">
        <v>0</v>
      </c>
      <c r="GS184">
        <v>3</v>
      </c>
      <c r="GT184">
        <v>0</v>
      </c>
      <c r="GU184" t="s">
        <v>3</v>
      </c>
      <c r="GV184">
        <f t="shared" si="189"/>
        <v>0</v>
      </c>
      <c r="GW184">
        <v>1</v>
      </c>
      <c r="GX184">
        <f t="shared" si="190"/>
        <v>0</v>
      </c>
      <c r="HA184">
        <v>0</v>
      </c>
      <c r="HB184">
        <v>0</v>
      </c>
      <c r="HC184">
        <f t="shared" si="191"/>
        <v>0</v>
      </c>
      <c r="HE184" t="s">
        <v>3</v>
      </c>
      <c r="HF184" t="s">
        <v>3</v>
      </c>
      <c r="HM184" t="s">
        <v>3</v>
      </c>
      <c r="HN184" t="s">
        <v>3</v>
      </c>
      <c r="HO184" t="s">
        <v>3</v>
      </c>
      <c r="HP184" t="s">
        <v>3</v>
      </c>
      <c r="HQ184" t="s">
        <v>3</v>
      </c>
      <c r="IK184">
        <v>0</v>
      </c>
    </row>
    <row r="185" spans="1:245" x14ac:dyDescent="0.2">
      <c r="A185">
        <v>17</v>
      </c>
      <c r="B185">
        <v>1</v>
      </c>
      <c r="D185">
        <f>ROW(EtalonRes!A106)</f>
        <v>106</v>
      </c>
      <c r="E185" t="s">
        <v>245</v>
      </c>
      <c r="F185" t="s">
        <v>246</v>
      </c>
      <c r="G185" t="s">
        <v>247</v>
      </c>
      <c r="H185" t="s">
        <v>31</v>
      </c>
      <c r="I185">
        <f>ROUND((8*7)/10,9)</f>
        <v>5.6</v>
      </c>
      <c r="J185">
        <v>0</v>
      </c>
      <c r="K185">
        <f>ROUND((8*7)/10,9)</f>
        <v>5.6</v>
      </c>
      <c r="O185">
        <f t="shared" si="161"/>
        <v>657.72</v>
      </c>
      <c r="P185">
        <f t="shared" si="162"/>
        <v>35.28</v>
      </c>
      <c r="Q185">
        <f t="shared" si="163"/>
        <v>0</v>
      </c>
      <c r="R185">
        <f t="shared" si="164"/>
        <v>0</v>
      </c>
      <c r="S185">
        <f t="shared" si="165"/>
        <v>622.44000000000005</v>
      </c>
      <c r="T185">
        <f t="shared" si="166"/>
        <v>0</v>
      </c>
      <c r="U185">
        <f t="shared" si="167"/>
        <v>1.008</v>
      </c>
      <c r="V185">
        <f t="shared" si="168"/>
        <v>0</v>
      </c>
      <c r="W185">
        <f t="shared" si="169"/>
        <v>0</v>
      </c>
      <c r="X185">
        <f t="shared" si="170"/>
        <v>435.71</v>
      </c>
      <c r="Y185">
        <f t="shared" si="170"/>
        <v>62.24</v>
      </c>
      <c r="AA185">
        <v>1471718271</v>
      </c>
      <c r="AB185">
        <f t="shared" si="171"/>
        <v>117.45</v>
      </c>
      <c r="AC185">
        <f>ROUND((ES185),6)</f>
        <v>6.3</v>
      </c>
      <c r="AD185">
        <f>ROUND((((ET185)-(EU185))+AE185),6)</f>
        <v>0</v>
      </c>
      <c r="AE185">
        <f>ROUND((EU185),6)</f>
        <v>0</v>
      </c>
      <c r="AF185">
        <f>ROUND((EV185),6)</f>
        <v>111.15</v>
      </c>
      <c r="AG185">
        <f t="shared" si="172"/>
        <v>0</v>
      </c>
      <c r="AH185">
        <f>(EW185)</f>
        <v>0.18</v>
      </c>
      <c r="AI185">
        <f>(EX185)</f>
        <v>0</v>
      </c>
      <c r="AJ185">
        <f t="shared" si="173"/>
        <v>0</v>
      </c>
      <c r="AK185">
        <v>117.45</v>
      </c>
      <c r="AL185">
        <v>6.3</v>
      </c>
      <c r="AM185">
        <v>0</v>
      </c>
      <c r="AN185">
        <v>0</v>
      </c>
      <c r="AO185">
        <v>111.15</v>
      </c>
      <c r="AP185">
        <v>0</v>
      </c>
      <c r="AQ185">
        <v>0.18</v>
      </c>
      <c r="AR185">
        <v>0</v>
      </c>
      <c r="AS185">
        <v>0</v>
      </c>
      <c r="AT185">
        <v>70</v>
      </c>
      <c r="AU185">
        <v>10</v>
      </c>
      <c r="AV185">
        <v>1</v>
      </c>
      <c r="AW185">
        <v>1</v>
      </c>
      <c r="AZ185">
        <v>1</v>
      </c>
      <c r="BA185">
        <v>1</v>
      </c>
      <c r="BB185">
        <v>1</v>
      </c>
      <c r="BC185">
        <v>1</v>
      </c>
      <c r="BD185" t="s">
        <v>3</v>
      </c>
      <c r="BE185" t="s">
        <v>3</v>
      </c>
      <c r="BF185" t="s">
        <v>3</v>
      </c>
      <c r="BG185" t="s">
        <v>3</v>
      </c>
      <c r="BH185">
        <v>0</v>
      </c>
      <c r="BI185">
        <v>4</v>
      </c>
      <c r="BJ185" t="s">
        <v>248</v>
      </c>
      <c r="BM185">
        <v>0</v>
      </c>
      <c r="BN185">
        <v>0</v>
      </c>
      <c r="BO185" t="s">
        <v>3</v>
      </c>
      <c r="BP185">
        <v>0</v>
      </c>
      <c r="BQ185">
        <v>1</v>
      </c>
      <c r="BR185">
        <v>0</v>
      </c>
      <c r="BS185">
        <v>1</v>
      </c>
      <c r="BT185">
        <v>1</v>
      </c>
      <c r="BU185">
        <v>1</v>
      </c>
      <c r="BV185">
        <v>1</v>
      </c>
      <c r="BW185">
        <v>1</v>
      </c>
      <c r="BX185">
        <v>1</v>
      </c>
      <c r="BY185" t="s">
        <v>3</v>
      </c>
      <c r="BZ185">
        <v>70</v>
      </c>
      <c r="CA185">
        <v>10</v>
      </c>
      <c r="CB185" t="s">
        <v>3</v>
      </c>
      <c r="CE185">
        <v>0</v>
      </c>
      <c r="CF185">
        <v>0</v>
      </c>
      <c r="CG185">
        <v>0</v>
      </c>
      <c r="CM185">
        <v>0</v>
      </c>
      <c r="CN185" t="s">
        <v>3</v>
      </c>
      <c r="CO185">
        <v>0</v>
      </c>
      <c r="CP185">
        <f t="shared" si="174"/>
        <v>657.72</v>
      </c>
      <c r="CQ185">
        <f t="shared" si="175"/>
        <v>6.3</v>
      </c>
      <c r="CR185">
        <f>((((ET185)*BB185-(EU185)*BS185)+AE185*BS185)*AV185)</f>
        <v>0</v>
      </c>
      <c r="CS185">
        <f t="shared" si="176"/>
        <v>0</v>
      </c>
      <c r="CT185">
        <f t="shared" si="177"/>
        <v>111.15</v>
      </c>
      <c r="CU185">
        <f t="shared" si="178"/>
        <v>0</v>
      </c>
      <c r="CV185">
        <f t="shared" si="179"/>
        <v>0.18</v>
      </c>
      <c r="CW185">
        <f t="shared" si="180"/>
        <v>0</v>
      </c>
      <c r="CX185">
        <f t="shared" si="180"/>
        <v>0</v>
      </c>
      <c r="CY185">
        <f t="shared" si="181"/>
        <v>435.70800000000003</v>
      </c>
      <c r="CZ185">
        <f t="shared" si="182"/>
        <v>62.244000000000007</v>
      </c>
      <c r="DC185" t="s">
        <v>3</v>
      </c>
      <c r="DD185" t="s">
        <v>3</v>
      </c>
      <c r="DE185" t="s">
        <v>3</v>
      </c>
      <c r="DF185" t="s">
        <v>3</v>
      </c>
      <c r="DG185" t="s">
        <v>3</v>
      </c>
      <c r="DH185" t="s">
        <v>3</v>
      </c>
      <c r="DI185" t="s">
        <v>3</v>
      </c>
      <c r="DJ185" t="s">
        <v>3</v>
      </c>
      <c r="DK185" t="s">
        <v>3</v>
      </c>
      <c r="DL185" t="s">
        <v>3</v>
      </c>
      <c r="DM185" t="s">
        <v>3</v>
      </c>
      <c r="DN185">
        <v>0</v>
      </c>
      <c r="DO185">
        <v>0</v>
      </c>
      <c r="DP185">
        <v>1</v>
      </c>
      <c r="DQ185">
        <v>1</v>
      </c>
      <c r="DU185">
        <v>16987630</v>
      </c>
      <c r="DV185" t="s">
        <v>31</v>
      </c>
      <c r="DW185" t="s">
        <v>31</v>
      </c>
      <c r="DX185">
        <v>10</v>
      </c>
      <c r="DZ185" t="s">
        <v>3</v>
      </c>
      <c r="EA185" t="s">
        <v>3</v>
      </c>
      <c r="EB185" t="s">
        <v>3</v>
      </c>
      <c r="EC185" t="s">
        <v>3</v>
      </c>
      <c r="EE185">
        <v>1441815344</v>
      </c>
      <c r="EF185">
        <v>1</v>
      </c>
      <c r="EG185" t="s">
        <v>21</v>
      </c>
      <c r="EH185">
        <v>0</v>
      </c>
      <c r="EI185" t="s">
        <v>3</v>
      </c>
      <c r="EJ185">
        <v>4</v>
      </c>
      <c r="EK185">
        <v>0</v>
      </c>
      <c r="EL185" t="s">
        <v>22</v>
      </c>
      <c r="EM185" t="s">
        <v>23</v>
      </c>
      <c r="EO185" t="s">
        <v>3</v>
      </c>
      <c r="EQ185">
        <v>0</v>
      </c>
      <c r="ER185">
        <v>117.45</v>
      </c>
      <c r="ES185">
        <v>6.3</v>
      </c>
      <c r="ET185">
        <v>0</v>
      </c>
      <c r="EU185">
        <v>0</v>
      </c>
      <c r="EV185">
        <v>111.15</v>
      </c>
      <c r="EW185">
        <v>0.18</v>
      </c>
      <c r="EX185">
        <v>0</v>
      </c>
      <c r="EY185">
        <v>0</v>
      </c>
      <c r="FQ185">
        <v>0</v>
      </c>
      <c r="FR185">
        <f t="shared" si="183"/>
        <v>0</v>
      </c>
      <c r="FS185">
        <v>0</v>
      </c>
      <c r="FX185">
        <v>70</v>
      </c>
      <c r="FY185">
        <v>10</v>
      </c>
      <c r="GA185" t="s">
        <v>3</v>
      </c>
      <c r="GD185">
        <v>0</v>
      </c>
      <c r="GF185">
        <v>1310870617</v>
      </c>
      <c r="GG185">
        <v>2</v>
      </c>
      <c r="GH185">
        <v>1</v>
      </c>
      <c r="GI185">
        <v>-2</v>
      </c>
      <c r="GJ185">
        <v>0</v>
      </c>
      <c r="GK185">
        <f>ROUND(R185*(R12)/100,2)</f>
        <v>0</v>
      </c>
      <c r="GL185">
        <f t="shared" si="184"/>
        <v>0</v>
      </c>
      <c r="GM185">
        <f t="shared" si="185"/>
        <v>1155.67</v>
      </c>
      <c r="GN185">
        <f t="shared" si="186"/>
        <v>0</v>
      </c>
      <c r="GO185">
        <f t="shared" si="187"/>
        <v>0</v>
      </c>
      <c r="GP185">
        <f t="shared" si="188"/>
        <v>1155.67</v>
      </c>
      <c r="GR185">
        <v>0</v>
      </c>
      <c r="GS185">
        <v>3</v>
      </c>
      <c r="GT185">
        <v>0</v>
      </c>
      <c r="GU185" t="s">
        <v>3</v>
      </c>
      <c r="GV185">
        <f t="shared" si="189"/>
        <v>0</v>
      </c>
      <c r="GW185">
        <v>1</v>
      </c>
      <c r="GX185">
        <f t="shared" si="190"/>
        <v>0</v>
      </c>
      <c r="HA185">
        <v>0</v>
      </c>
      <c r="HB185">
        <v>0</v>
      </c>
      <c r="HC185">
        <f t="shared" si="191"/>
        <v>0</v>
      </c>
      <c r="HE185" t="s">
        <v>3</v>
      </c>
      <c r="HF185" t="s">
        <v>3</v>
      </c>
      <c r="HM185" t="s">
        <v>3</v>
      </c>
      <c r="HN185" t="s">
        <v>3</v>
      </c>
      <c r="HO185" t="s">
        <v>3</v>
      </c>
      <c r="HP185" t="s">
        <v>3</v>
      </c>
      <c r="HQ185" t="s">
        <v>3</v>
      </c>
      <c r="IK185">
        <v>0</v>
      </c>
    </row>
    <row r="186" spans="1:245" x14ac:dyDescent="0.2">
      <c r="A186">
        <v>17</v>
      </c>
      <c r="B186">
        <v>1</v>
      </c>
      <c r="D186">
        <f>ROW(EtalonRes!A107)</f>
        <v>107</v>
      </c>
      <c r="E186" t="s">
        <v>3</v>
      </c>
      <c r="F186" t="s">
        <v>249</v>
      </c>
      <c r="G186" t="s">
        <v>250</v>
      </c>
      <c r="H186" t="s">
        <v>53</v>
      </c>
      <c r="I186">
        <f>ROUND((8*7)/100,9)</f>
        <v>0.56000000000000005</v>
      </c>
      <c r="J186">
        <v>0</v>
      </c>
      <c r="K186">
        <f>ROUND((8*7)/100,9)</f>
        <v>0.56000000000000005</v>
      </c>
      <c r="O186">
        <f t="shared" si="161"/>
        <v>204.36</v>
      </c>
      <c r="P186">
        <f t="shared" si="162"/>
        <v>0</v>
      </c>
      <c r="Q186">
        <f t="shared" si="163"/>
        <v>0</v>
      </c>
      <c r="R186">
        <f t="shared" si="164"/>
        <v>0</v>
      </c>
      <c r="S186">
        <f t="shared" si="165"/>
        <v>204.36</v>
      </c>
      <c r="T186">
        <f t="shared" si="166"/>
        <v>0</v>
      </c>
      <c r="U186">
        <f t="shared" si="167"/>
        <v>0.4032</v>
      </c>
      <c r="V186">
        <f t="shared" si="168"/>
        <v>0</v>
      </c>
      <c r="W186">
        <f t="shared" si="169"/>
        <v>0</v>
      </c>
      <c r="X186">
        <f t="shared" si="170"/>
        <v>143.05000000000001</v>
      </c>
      <c r="Y186">
        <f t="shared" si="170"/>
        <v>20.440000000000001</v>
      </c>
      <c r="AA186">
        <v>-1</v>
      </c>
      <c r="AB186">
        <f t="shared" si="171"/>
        <v>364.92</v>
      </c>
      <c r="AC186">
        <f>ROUND(((ES186*3)),6)</f>
        <v>0</v>
      </c>
      <c r="AD186">
        <f>ROUND(((((ET186*3))-((EU186*3)))+AE186),6)</f>
        <v>0</v>
      </c>
      <c r="AE186">
        <f>ROUND(((EU186*3)),6)</f>
        <v>0</v>
      </c>
      <c r="AF186">
        <f>ROUND(((EV186*3)),6)</f>
        <v>364.92</v>
      </c>
      <c r="AG186">
        <f t="shared" si="172"/>
        <v>0</v>
      </c>
      <c r="AH186">
        <f>((EW186*3))</f>
        <v>0.72</v>
      </c>
      <c r="AI186">
        <f>((EX186*3))</f>
        <v>0</v>
      </c>
      <c r="AJ186">
        <f t="shared" si="173"/>
        <v>0</v>
      </c>
      <c r="AK186">
        <v>121.64</v>
      </c>
      <c r="AL186">
        <v>0</v>
      </c>
      <c r="AM186">
        <v>0</v>
      </c>
      <c r="AN186">
        <v>0</v>
      </c>
      <c r="AO186">
        <v>121.64</v>
      </c>
      <c r="AP186">
        <v>0</v>
      </c>
      <c r="AQ186">
        <v>0.24</v>
      </c>
      <c r="AR186">
        <v>0</v>
      </c>
      <c r="AS186">
        <v>0</v>
      </c>
      <c r="AT186">
        <v>70</v>
      </c>
      <c r="AU186">
        <v>10</v>
      </c>
      <c r="AV186">
        <v>1</v>
      </c>
      <c r="AW186">
        <v>1</v>
      </c>
      <c r="AZ186">
        <v>1</v>
      </c>
      <c r="BA186">
        <v>1</v>
      </c>
      <c r="BB186">
        <v>1</v>
      </c>
      <c r="BC186">
        <v>1</v>
      </c>
      <c r="BD186" t="s">
        <v>3</v>
      </c>
      <c r="BE186" t="s">
        <v>3</v>
      </c>
      <c r="BF186" t="s">
        <v>3</v>
      </c>
      <c r="BG186" t="s">
        <v>3</v>
      </c>
      <c r="BH186">
        <v>0</v>
      </c>
      <c r="BI186">
        <v>4</v>
      </c>
      <c r="BJ186" t="s">
        <v>251</v>
      </c>
      <c r="BM186">
        <v>0</v>
      </c>
      <c r="BN186">
        <v>0</v>
      </c>
      <c r="BO186" t="s">
        <v>3</v>
      </c>
      <c r="BP186">
        <v>0</v>
      </c>
      <c r="BQ186">
        <v>1</v>
      </c>
      <c r="BR186">
        <v>0</v>
      </c>
      <c r="BS186">
        <v>1</v>
      </c>
      <c r="BT186">
        <v>1</v>
      </c>
      <c r="BU186">
        <v>1</v>
      </c>
      <c r="BV186">
        <v>1</v>
      </c>
      <c r="BW186">
        <v>1</v>
      </c>
      <c r="BX186">
        <v>1</v>
      </c>
      <c r="BY186" t="s">
        <v>3</v>
      </c>
      <c r="BZ186">
        <v>70</v>
      </c>
      <c r="CA186">
        <v>10</v>
      </c>
      <c r="CB186" t="s">
        <v>3</v>
      </c>
      <c r="CE186">
        <v>0</v>
      </c>
      <c r="CF186">
        <v>0</v>
      </c>
      <c r="CG186">
        <v>0</v>
      </c>
      <c r="CM186">
        <v>0</v>
      </c>
      <c r="CN186" t="s">
        <v>3</v>
      </c>
      <c r="CO186">
        <v>0</v>
      </c>
      <c r="CP186">
        <f t="shared" si="174"/>
        <v>204.36</v>
      </c>
      <c r="CQ186">
        <f t="shared" si="175"/>
        <v>0</v>
      </c>
      <c r="CR186">
        <f>(((((ET186*3))*BB186-((EU186*3))*BS186)+AE186*BS186)*AV186)</f>
        <v>0</v>
      </c>
      <c r="CS186">
        <f t="shared" si="176"/>
        <v>0</v>
      </c>
      <c r="CT186">
        <f t="shared" si="177"/>
        <v>364.92</v>
      </c>
      <c r="CU186">
        <f t="shared" si="178"/>
        <v>0</v>
      </c>
      <c r="CV186">
        <f t="shared" si="179"/>
        <v>0.72</v>
      </c>
      <c r="CW186">
        <f t="shared" si="180"/>
        <v>0</v>
      </c>
      <c r="CX186">
        <f t="shared" si="180"/>
        <v>0</v>
      </c>
      <c r="CY186">
        <f t="shared" si="181"/>
        <v>143.05200000000002</v>
      </c>
      <c r="CZ186">
        <f t="shared" si="182"/>
        <v>20.436</v>
      </c>
      <c r="DC186" t="s">
        <v>3</v>
      </c>
      <c r="DD186" t="s">
        <v>163</v>
      </c>
      <c r="DE186" t="s">
        <v>163</v>
      </c>
      <c r="DF186" t="s">
        <v>163</v>
      </c>
      <c r="DG186" t="s">
        <v>163</v>
      </c>
      <c r="DH186" t="s">
        <v>3</v>
      </c>
      <c r="DI186" t="s">
        <v>163</v>
      </c>
      <c r="DJ186" t="s">
        <v>163</v>
      </c>
      <c r="DK186" t="s">
        <v>3</v>
      </c>
      <c r="DL186" t="s">
        <v>3</v>
      </c>
      <c r="DM186" t="s">
        <v>3</v>
      </c>
      <c r="DN186">
        <v>0</v>
      </c>
      <c r="DO186">
        <v>0</v>
      </c>
      <c r="DP186">
        <v>1</v>
      </c>
      <c r="DQ186">
        <v>1</v>
      </c>
      <c r="DU186">
        <v>16987630</v>
      </c>
      <c r="DV186" t="s">
        <v>53</v>
      </c>
      <c r="DW186" t="s">
        <v>53</v>
      </c>
      <c r="DX186">
        <v>100</v>
      </c>
      <c r="DZ186" t="s">
        <v>3</v>
      </c>
      <c r="EA186" t="s">
        <v>3</v>
      </c>
      <c r="EB186" t="s">
        <v>3</v>
      </c>
      <c r="EC186" t="s">
        <v>3</v>
      </c>
      <c r="EE186">
        <v>1441815344</v>
      </c>
      <c r="EF186">
        <v>1</v>
      </c>
      <c r="EG186" t="s">
        <v>21</v>
      </c>
      <c r="EH186">
        <v>0</v>
      </c>
      <c r="EI186" t="s">
        <v>3</v>
      </c>
      <c r="EJ186">
        <v>4</v>
      </c>
      <c r="EK186">
        <v>0</v>
      </c>
      <c r="EL186" t="s">
        <v>22</v>
      </c>
      <c r="EM186" t="s">
        <v>23</v>
      </c>
      <c r="EO186" t="s">
        <v>3</v>
      </c>
      <c r="EQ186">
        <v>1024</v>
      </c>
      <c r="ER186">
        <v>121.64</v>
      </c>
      <c r="ES186">
        <v>0</v>
      </c>
      <c r="ET186">
        <v>0</v>
      </c>
      <c r="EU186">
        <v>0</v>
      </c>
      <c r="EV186">
        <v>121.64</v>
      </c>
      <c r="EW186">
        <v>0.24</v>
      </c>
      <c r="EX186">
        <v>0</v>
      </c>
      <c r="EY186">
        <v>0</v>
      </c>
      <c r="FQ186">
        <v>0</v>
      </c>
      <c r="FR186">
        <f t="shared" si="183"/>
        <v>0</v>
      </c>
      <c r="FS186">
        <v>0</v>
      </c>
      <c r="FX186">
        <v>70</v>
      </c>
      <c r="FY186">
        <v>10</v>
      </c>
      <c r="GA186" t="s">
        <v>3</v>
      </c>
      <c r="GD186">
        <v>0</v>
      </c>
      <c r="GF186">
        <v>1019270866</v>
      </c>
      <c r="GG186">
        <v>2</v>
      </c>
      <c r="GH186">
        <v>1</v>
      </c>
      <c r="GI186">
        <v>-2</v>
      </c>
      <c r="GJ186">
        <v>0</v>
      </c>
      <c r="GK186">
        <f>ROUND(R186*(R12)/100,2)</f>
        <v>0</v>
      </c>
      <c r="GL186">
        <f t="shared" si="184"/>
        <v>0</v>
      </c>
      <c r="GM186">
        <f t="shared" si="185"/>
        <v>367.85</v>
      </c>
      <c r="GN186">
        <f t="shared" si="186"/>
        <v>0</v>
      </c>
      <c r="GO186">
        <f t="shared" si="187"/>
        <v>0</v>
      </c>
      <c r="GP186">
        <f t="shared" si="188"/>
        <v>367.85</v>
      </c>
      <c r="GR186">
        <v>0</v>
      </c>
      <c r="GS186">
        <v>3</v>
      </c>
      <c r="GT186">
        <v>0</v>
      </c>
      <c r="GU186" t="s">
        <v>3</v>
      </c>
      <c r="GV186">
        <f t="shared" si="189"/>
        <v>0</v>
      </c>
      <c r="GW186">
        <v>1</v>
      </c>
      <c r="GX186">
        <f t="shared" si="190"/>
        <v>0</v>
      </c>
      <c r="HA186">
        <v>0</v>
      </c>
      <c r="HB186">
        <v>0</v>
      </c>
      <c r="HC186">
        <f t="shared" si="191"/>
        <v>0</v>
      </c>
      <c r="HE186" t="s">
        <v>3</v>
      </c>
      <c r="HF186" t="s">
        <v>3</v>
      </c>
      <c r="HM186" t="s">
        <v>3</v>
      </c>
      <c r="HN186" t="s">
        <v>3</v>
      </c>
      <c r="HO186" t="s">
        <v>3</v>
      </c>
      <c r="HP186" t="s">
        <v>3</v>
      </c>
      <c r="HQ186" t="s">
        <v>3</v>
      </c>
      <c r="IK186">
        <v>0</v>
      </c>
    </row>
    <row r="187" spans="1:245" x14ac:dyDescent="0.2">
      <c r="A187">
        <v>17</v>
      </c>
      <c r="B187">
        <v>1</v>
      </c>
      <c r="D187">
        <f>ROW(EtalonRes!A110)</f>
        <v>110</v>
      </c>
      <c r="E187" t="s">
        <v>3</v>
      </c>
      <c r="F187" t="s">
        <v>252</v>
      </c>
      <c r="G187" t="s">
        <v>253</v>
      </c>
      <c r="H187" t="s">
        <v>36</v>
      </c>
      <c r="I187">
        <f>ROUND((12+26)*7,9)</f>
        <v>266</v>
      </c>
      <c r="J187">
        <v>0</v>
      </c>
      <c r="K187">
        <f>ROUND((12+26)*7,9)</f>
        <v>266</v>
      </c>
      <c r="O187">
        <f t="shared" si="161"/>
        <v>16473.38</v>
      </c>
      <c r="P187">
        <f t="shared" si="162"/>
        <v>47.88</v>
      </c>
      <c r="Q187">
        <f t="shared" si="163"/>
        <v>0</v>
      </c>
      <c r="R187">
        <f t="shared" si="164"/>
        <v>0</v>
      </c>
      <c r="S187">
        <f t="shared" si="165"/>
        <v>16425.5</v>
      </c>
      <c r="T187">
        <f t="shared" si="166"/>
        <v>0</v>
      </c>
      <c r="U187">
        <f t="shared" si="167"/>
        <v>26.6</v>
      </c>
      <c r="V187">
        <f t="shared" si="168"/>
        <v>0</v>
      </c>
      <c r="W187">
        <f t="shared" si="169"/>
        <v>0</v>
      </c>
      <c r="X187">
        <f t="shared" si="170"/>
        <v>11497.85</v>
      </c>
      <c r="Y187">
        <f t="shared" si="170"/>
        <v>1642.55</v>
      </c>
      <c r="AA187">
        <v>-1</v>
      </c>
      <c r="AB187">
        <f t="shared" si="171"/>
        <v>61.93</v>
      </c>
      <c r="AC187">
        <f>ROUND((ES187),6)</f>
        <v>0.18</v>
      </c>
      <c r="AD187">
        <f>ROUND((((ET187)-(EU187))+AE187),6)</f>
        <v>0</v>
      </c>
      <c r="AE187">
        <f>ROUND((EU187),6)</f>
        <v>0</v>
      </c>
      <c r="AF187">
        <f>ROUND((EV187),6)</f>
        <v>61.75</v>
      </c>
      <c r="AG187">
        <f t="shared" si="172"/>
        <v>0</v>
      </c>
      <c r="AH187">
        <f>(EW187)</f>
        <v>0.1</v>
      </c>
      <c r="AI187">
        <f>(EX187)</f>
        <v>0</v>
      </c>
      <c r="AJ187">
        <f t="shared" si="173"/>
        <v>0</v>
      </c>
      <c r="AK187">
        <v>61.93</v>
      </c>
      <c r="AL187">
        <v>0.18</v>
      </c>
      <c r="AM187">
        <v>0</v>
      </c>
      <c r="AN187">
        <v>0</v>
      </c>
      <c r="AO187">
        <v>61.75</v>
      </c>
      <c r="AP187">
        <v>0</v>
      </c>
      <c r="AQ187">
        <v>0.1</v>
      </c>
      <c r="AR187">
        <v>0</v>
      </c>
      <c r="AS187">
        <v>0</v>
      </c>
      <c r="AT187">
        <v>70</v>
      </c>
      <c r="AU187">
        <v>10</v>
      </c>
      <c r="AV187">
        <v>1</v>
      </c>
      <c r="AW187">
        <v>1</v>
      </c>
      <c r="AZ187">
        <v>1</v>
      </c>
      <c r="BA187">
        <v>1</v>
      </c>
      <c r="BB187">
        <v>1</v>
      </c>
      <c r="BC187">
        <v>1</v>
      </c>
      <c r="BD187" t="s">
        <v>3</v>
      </c>
      <c r="BE187" t="s">
        <v>3</v>
      </c>
      <c r="BF187" t="s">
        <v>3</v>
      </c>
      <c r="BG187" t="s">
        <v>3</v>
      </c>
      <c r="BH187">
        <v>0</v>
      </c>
      <c r="BI187">
        <v>4</v>
      </c>
      <c r="BJ187" t="s">
        <v>254</v>
      </c>
      <c r="BM187">
        <v>0</v>
      </c>
      <c r="BN187">
        <v>0</v>
      </c>
      <c r="BO187" t="s">
        <v>3</v>
      </c>
      <c r="BP187">
        <v>0</v>
      </c>
      <c r="BQ187">
        <v>1</v>
      </c>
      <c r="BR187">
        <v>0</v>
      </c>
      <c r="BS187">
        <v>1</v>
      </c>
      <c r="BT187">
        <v>1</v>
      </c>
      <c r="BU187">
        <v>1</v>
      </c>
      <c r="BV187">
        <v>1</v>
      </c>
      <c r="BW187">
        <v>1</v>
      </c>
      <c r="BX187">
        <v>1</v>
      </c>
      <c r="BY187" t="s">
        <v>3</v>
      </c>
      <c r="BZ187">
        <v>70</v>
      </c>
      <c r="CA187">
        <v>10</v>
      </c>
      <c r="CB187" t="s">
        <v>3</v>
      </c>
      <c r="CE187">
        <v>0</v>
      </c>
      <c r="CF187">
        <v>0</v>
      </c>
      <c r="CG187">
        <v>0</v>
      </c>
      <c r="CM187">
        <v>0</v>
      </c>
      <c r="CN187" t="s">
        <v>3</v>
      </c>
      <c r="CO187">
        <v>0</v>
      </c>
      <c r="CP187">
        <f t="shared" si="174"/>
        <v>16473.38</v>
      </c>
      <c r="CQ187">
        <f t="shared" si="175"/>
        <v>0.18</v>
      </c>
      <c r="CR187">
        <f>((((ET187)*BB187-(EU187)*BS187)+AE187*BS187)*AV187)</f>
        <v>0</v>
      </c>
      <c r="CS187">
        <f t="shared" si="176"/>
        <v>0</v>
      </c>
      <c r="CT187">
        <f t="shared" si="177"/>
        <v>61.75</v>
      </c>
      <c r="CU187">
        <f t="shared" si="178"/>
        <v>0</v>
      </c>
      <c r="CV187">
        <f t="shared" si="179"/>
        <v>0.1</v>
      </c>
      <c r="CW187">
        <f t="shared" si="180"/>
        <v>0</v>
      </c>
      <c r="CX187">
        <f t="shared" si="180"/>
        <v>0</v>
      </c>
      <c r="CY187">
        <f t="shared" si="181"/>
        <v>11497.85</v>
      </c>
      <c r="CZ187">
        <f t="shared" si="182"/>
        <v>1642.55</v>
      </c>
      <c r="DC187" t="s">
        <v>3</v>
      </c>
      <c r="DD187" t="s">
        <v>3</v>
      </c>
      <c r="DE187" t="s">
        <v>3</v>
      </c>
      <c r="DF187" t="s">
        <v>3</v>
      </c>
      <c r="DG187" t="s">
        <v>3</v>
      </c>
      <c r="DH187" t="s">
        <v>3</v>
      </c>
      <c r="DI187" t="s">
        <v>3</v>
      </c>
      <c r="DJ187" t="s">
        <v>3</v>
      </c>
      <c r="DK187" t="s">
        <v>3</v>
      </c>
      <c r="DL187" t="s">
        <v>3</v>
      </c>
      <c r="DM187" t="s">
        <v>3</v>
      </c>
      <c r="DN187">
        <v>0</v>
      </c>
      <c r="DO187">
        <v>0</v>
      </c>
      <c r="DP187">
        <v>1</v>
      </c>
      <c r="DQ187">
        <v>1</v>
      </c>
      <c r="DU187">
        <v>16987630</v>
      </c>
      <c r="DV187" t="s">
        <v>36</v>
      </c>
      <c r="DW187" t="s">
        <v>36</v>
      </c>
      <c r="DX187">
        <v>1</v>
      </c>
      <c r="DZ187" t="s">
        <v>3</v>
      </c>
      <c r="EA187" t="s">
        <v>3</v>
      </c>
      <c r="EB187" t="s">
        <v>3</v>
      </c>
      <c r="EC187" t="s">
        <v>3</v>
      </c>
      <c r="EE187">
        <v>1441815344</v>
      </c>
      <c r="EF187">
        <v>1</v>
      </c>
      <c r="EG187" t="s">
        <v>21</v>
      </c>
      <c r="EH187">
        <v>0</v>
      </c>
      <c r="EI187" t="s">
        <v>3</v>
      </c>
      <c r="EJ187">
        <v>4</v>
      </c>
      <c r="EK187">
        <v>0</v>
      </c>
      <c r="EL187" t="s">
        <v>22</v>
      </c>
      <c r="EM187" t="s">
        <v>23</v>
      </c>
      <c r="EO187" t="s">
        <v>3</v>
      </c>
      <c r="EQ187">
        <v>1024</v>
      </c>
      <c r="ER187">
        <v>61.93</v>
      </c>
      <c r="ES187">
        <v>0.18</v>
      </c>
      <c r="ET187">
        <v>0</v>
      </c>
      <c r="EU187">
        <v>0</v>
      </c>
      <c r="EV187">
        <v>61.75</v>
      </c>
      <c r="EW187">
        <v>0.1</v>
      </c>
      <c r="EX187">
        <v>0</v>
      </c>
      <c r="EY187">
        <v>0</v>
      </c>
      <c r="FQ187">
        <v>0</v>
      </c>
      <c r="FR187">
        <f t="shared" si="183"/>
        <v>0</v>
      </c>
      <c r="FS187">
        <v>0</v>
      </c>
      <c r="FX187">
        <v>70</v>
      </c>
      <c r="FY187">
        <v>10</v>
      </c>
      <c r="GA187" t="s">
        <v>3</v>
      </c>
      <c r="GD187">
        <v>0</v>
      </c>
      <c r="GF187">
        <v>2049612897</v>
      </c>
      <c r="GG187">
        <v>2</v>
      </c>
      <c r="GH187">
        <v>1</v>
      </c>
      <c r="GI187">
        <v>-2</v>
      </c>
      <c r="GJ187">
        <v>0</v>
      </c>
      <c r="GK187">
        <f>ROUND(R187*(R12)/100,2)</f>
        <v>0</v>
      </c>
      <c r="GL187">
        <f t="shared" si="184"/>
        <v>0</v>
      </c>
      <c r="GM187">
        <f t="shared" si="185"/>
        <v>29613.78</v>
      </c>
      <c r="GN187">
        <f t="shared" si="186"/>
        <v>0</v>
      </c>
      <c r="GO187">
        <f t="shared" si="187"/>
        <v>0</v>
      </c>
      <c r="GP187">
        <f t="shared" si="188"/>
        <v>29613.78</v>
      </c>
      <c r="GR187">
        <v>0</v>
      </c>
      <c r="GS187">
        <v>3</v>
      </c>
      <c r="GT187">
        <v>0</v>
      </c>
      <c r="GU187" t="s">
        <v>3</v>
      </c>
      <c r="GV187">
        <f t="shared" si="189"/>
        <v>0</v>
      </c>
      <c r="GW187">
        <v>1</v>
      </c>
      <c r="GX187">
        <f t="shared" si="190"/>
        <v>0</v>
      </c>
      <c r="HA187">
        <v>0</v>
      </c>
      <c r="HB187">
        <v>0</v>
      </c>
      <c r="HC187">
        <f t="shared" si="191"/>
        <v>0</v>
      </c>
      <c r="HE187" t="s">
        <v>3</v>
      </c>
      <c r="HF187" t="s">
        <v>3</v>
      </c>
      <c r="HM187" t="s">
        <v>3</v>
      </c>
      <c r="HN187" t="s">
        <v>3</v>
      </c>
      <c r="HO187" t="s">
        <v>3</v>
      </c>
      <c r="HP187" t="s">
        <v>3</v>
      </c>
      <c r="HQ187" t="s">
        <v>3</v>
      </c>
      <c r="IK187">
        <v>0</v>
      </c>
    </row>
    <row r="188" spans="1:245" x14ac:dyDescent="0.2">
      <c r="A188">
        <v>17</v>
      </c>
      <c r="B188">
        <v>1</v>
      </c>
      <c r="D188">
        <f>ROW(EtalonRes!A115)</f>
        <v>115</v>
      </c>
      <c r="E188" t="s">
        <v>3</v>
      </c>
      <c r="F188" t="s">
        <v>255</v>
      </c>
      <c r="G188" t="s">
        <v>256</v>
      </c>
      <c r="H188" t="s">
        <v>36</v>
      </c>
      <c r="I188">
        <f>ROUND((12+26)*7,9)</f>
        <v>266</v>
      </c>
      <c r="J188">
        <v>0</v>
      </c>
      <c r="K188">
        <f>ROUND((12+26)*7,9)</f>
        <v>266</v>
      </c>
      <c r="O188">
        <f t="shared" si="161"/>
        <v>999181.12</v>
      </c>
      <c r="P188">
        <f t="shared" si="162"/>
        <v>13667.08</v>
      </c>
      <c r="Q188">
        <f t="shared" si="163"/>
        <v>0</v>
      </c>
      <c r="R188">
        <f t="shared" si="164"/>
        <v>0</v>
      </c>
      <c r="S188">
        <f t="shared" si="165"/>
        <v>985514.04</v>
      </c>
      <c r="T188">
        <f t="shared" si="166"/>
        <v>0</v>
      </c>
      <c r="U188">
        <f t="shared" si="167"/>
        <v>1596</v>
      </c>
      <c r="V188">
        <f t="shared" si="168"/>
        <v>0</v>
      </c>
      <c r="W188">
        <f t="shared" si="169"/>
        <v>0</v>
      </c>
      <c r="X188">
        <f t="shared" si="170"/>
        <v>689859.83</v>
      </c>
      <c r="Y188">
        <f t="shared" si="170"/>
        <v>98551.4</v>
      </c>
      <c r="AA188">
        <v>-1</v>
      </c>
      <c r="AB188">
        <f t="shared" si="171"/>
        <v>3756.32</v>
      </c>
      <c r="AC188">
        <f>ROUND(((ES188*2)),6)</f>
        <v>51.38</v>
      </c>
      <c r="AD188">
        <f>ROUND((((ET188)-(EU188))+AE188),6)</f>
        <v>0</v>
      </c>
      <c r="AE188">
        <f>ROUND((EU188),6)</f>
        <v>0</v>
      </c>
      <c r="AF188">
        <f>ROUND(((EV188*2)),6)</f>
        <v>3704.94</v>
      </c>
      <c r="AG188">
        <f t="shared" si="172"/>
        <v>0</v>
      </c>
      <c r="AH188">
        <f>((EW188*2))</f>
        <v>6</v>
      </c>
      <c r="AI188">
        <f>(EX188)</f>
        <v>0</v>
      </c>
      <c r="AJ188">
        <f t="shared" si="173"/>
        <v>0</v>
      </c>
      <c r="AK188">
        <v>1878.16</v>
      </c>
      <c r="AL188">
        <v>25.69</v>
      </c>
      <c r="AM188">
        <v>0</v>
      </c>
      <c r="AN188">
        <v>0</v>
      </c>
      <c r="AO188">
        <v>1852.47</v>
      </c>
      <c r="AP188">
        <v>0</v>
      </c>
      <c r="AQ188">
        <v>3</v>
      </c>
      <c r="AR188">
        <v>0</v>
      </c>
      <c r="AS188">
        <v>0</v>
      </c>
      <c r="AT188">
        <v>70</v>
      </c>
      <c r="AU188">
        <v>10</v>
      </c>
      <c r="AV188">
        <v>1</v>
      </c>
      <c r="AW188">
        <v>1</v>
      </c>
      <c r="AZ188">
        <v>1</v>
      </c>
      <c r="BA188">
        <v>1</v>
      </c>
      <c r="BB188">
        <v>1</v>
      </c>
      <c r="BC188">
        <v>1</v>
      </c>
      <c r="BD188" t="s">
        <v>3</v>
      </c>
      <c r="BE188" t="s">
        <v>3</v>
      </c>
      <c r="BF188" t="s">
        <v>3</v>
      </c>
      <c r="BG188" t="s">
        <v>3</v>
      </c>
      <c r="BH188">
        <v>0</v>
      </c>
      <c r="BI188">
        <v>4</v>
      </c>
      <c r="BJ188" t="s">
        <v>257</v>
      </c>
      <c r="BM188">
        <v>0</v>
      </c>
      <c r="BN188">
        <v>0</v>
      </c>
      <c r="BO188" t="s">
        <v>3</v>
      </c>
      <c r="BP188">
        <v>0</v>
      </c>
      <c r="BQ188">
        <v>1</v>
      </c>
      <c r="BR188">
        <v>0</v>
      </c>
      <c r="BS188">
        <v>1</v>
      </c>
      <c r="BT188">
        <v>1</v>
      </c>
      <c r="BU188">
        <v>1</v>
      </c>
      <c r="BV188">
        <v>1</v>
      </c>
      <c r="BW188">
        <v>1</v>
      </c>
      <c r="BX188">
        <v>1</v>
      </c>
      <c r="BY188" t="s">
        <v>3</v>
      </c>
      <c r="BZ188">
        <v>70</v>
      </c>
      <c r="CA188">
        <v>10</v>
      </c>
      <c r="CB188" t="s">
        <v>3</v>
      </c>
      <c r="CE188">
        <v>0</v>
      </c>
      <c r="CF188">
        <v>0</v>
      </c>
      <c r="CG188">
        <v>0</v>
      </c>
      <c r="CM188">
        <v>0</v>
      </c>
      <c r="CN188" t="s">
        <v>3</v>
      </c>
      <c r="CO188">
        <v>0</v>
      </c>
      <c r="CP188">
        <f t="shared" si="174"/>
        <v>999181.12</v>
      </c>
      <c r="CQ188">
        <f t="shared" si="175"/>
        <v>51.38</v>
      </c>
      <c r="CR188">
        <f>((((ET188)*BB188-(EU188)*BS188)+AE188*BS188)*AV188)</f>
        <v>0</v>
      </c>
      <c r="CS188">
        <f t="shared" si="176"/>
        <v>0</v>
      </c>
      <c r="CT188">
        <f t="shared" si="177"/>
        <v>3704.94</v>
      </c>
      <c r="CU188">
        <f t="shared" si="178"/>
        <v>0</v>
      </c>
      <c r="CV188">
        <f t="shared" si="179"/>
        <v>6</v>
      </c>
      <c r="CW188">
        <f t="shared" si="180"/>
        <v>0</v>
      </c>
      <c r="CX188">
        <f t="shared" si="180"/>
        <v>0</v>
      </c>
      <c r="CY188">
        <f t="shared" si="181"/>
        <v>689859.82799999998</v>
      </c>
      <c r="CZ188">
        <f t="shared" si="182"/>
        <v>98551.40400000001</v>
      </c>
      <c r="DC188" t="s">
        <v>3</v>
      </c>
      <c r="DD188" t="s">
        <v>42</v>
      </c>
      <c r="DE188" t="s">
        <v>3</v>
      </c>
      <c r="DF188" t="s">
        <v>3</v>
      </c>
      <c r="DG188" t="s">
        <v>42</v>
      </c>
      <c r="DH188" t="s">
        <v>3</v>
      </c>
      <c r="DI188" t="s">
        <v>42</v>
      </c>
      <c r="DJ188" t="s">
        <v>3</v>
      </c>
      <c r="DK188" t="s">
        <v>3</v>
      </c>
      <c r="DL188" t="s">
        <v>3</v>
      </c>
      <c r="DM188" t="s">
        <v>3</v>
      </c>
      <c r="DN188">
        <v>0</v>
      </c>
      <c r="DO188">
        <v>0</v>
      </c>
      <c r="DP188">
        <v>1</v>
      </c>
      <c r="DQ188">
        <v>1</v>
      </c>
      <c r="DU188">
        <v>16987630</v>
      </c>
      <c r="DV188" t="s">
        <v>36</v>
      </c>
      <c r="DW188" t="s">
        <v>36</v>
      </c>
      <c r="DX188">
        <v>1</v>
      </c>
      <c r="DZ188" t="s">
        <v>3</v>
      </c>
      <c r="EA188" t="s">
        <v>3</v>
      </c>
      <c r="EB188" t="s">
        <v>3</v>
      </c>
      <c r="EC188" t="s">
        <v>3</v>
      </c>
      <c r="EE188">
        <v>1441815344</v>
      </c>
      <c r="EF188">
        <v>1</v>
      </c>
      <c r="EG188" t="s">
        <v>21</v>
      </c>
      <c r="EH188">
        <v>0</v>
      </c>
      <c r="EI188" t="s">
        <v>3</v>
      </c>
      <c r="EJ188">
        <v>4</v>
      </c>
      <c r="EK188">
        <v>0</v>
      </c>
      <c r="EL188" t="s">
        <v>22</v>
      </c>
      <c r="EM188" t="s">
        <v>23</v>
      </c>
      <c r="EO188" t="s">
        <v>3</v>
      </c>
      <c r="EQ188">
        <v>1024</v>
      </c>
      <c r="ER188">
        <v>1878.16</v>
      </c>
      <c r="ES188">
        <v>25.69</v>
      </c>
      <c r="ET188">
        <v>0</v>
      </c>
      <c r="EU188">
        <v>0</v>
      </c>
      <c r="EV188">
        <v>1852.47</v>
      </c>
      <c r="EW188">
        <v>3</v>
      </c>
      <c r="EX188">
        <v>0</v>
      </c>
      <c r="EY188">
        <v>0</v>
      </c>
      <c r="FQ188">
        <v>0</v>
      </c>
      <c r="FR188">
        <f t="shared" si="183"/>
        <v>0</v>
      </c>
      <c r="FS188">
        <v>0</v>
      </c>
      <c r="FX188">
        <v>70</v>
      </c>
      <c r="FY188">
        <v>10</v>
      </c>
      <c r="GA188" t="s">
        <v>3</v>
      </c>
      <c r="GD188">
        <v>0</v>
      </c>
      <c r="GF188">
        <v>-18339376</v>
      </c>
      <c r="GG188">
        <v>2</v>
      </c>
      <c r="GH188">
        <v>1</v>
      </c>
      <c r="GI188">
        <v>-2</v>
      </c>
      <c r="GJ188">
        <v>0</v>
      </c>
      <c r="GK188">
        <f>ROUND(R188*(R12)/100,2)</f>
        <v>0</v>
      </c>
      <c r="GL188">
        <f t="shared" si="184"/>
        <v>0</v>
      </c>
      <c r="GM188">
        <f t="shared" si="185"/>
        <v>1787592.35</v>
      </c>
      <c r="GN188">
        <f t="shared" si="186"/>
        <v>0</v>
      </c>
      <c r="GO188">
        <f t="shared" si="187"/>
        <v>0</v>
      </c>
      <c r="GP188">
        <f t="shared" si="188"/>
        <v>1787592.35</v>
      </c>
      <c r="GR188">
        <v>0</v>
      </c>
      <c r="GS188">
        <v>3</v>
      </c>
      <c r="GT188">
        <v>0</v>
      </c>
      <c r="GU188" t="s">
        <v>3</v>
      </c>
      <c r="GV188">
        <f t="shared" si="189"/>
        <v>0</v>
      </c>
      <c r="GW188">
        <v>1</v>
      </c>
      <c r="GX188">
        <f t="shared" si="190"/>
        <v>0</v>
      </c>
      <c r="HA188">
        <v>0</v>
      </c>
      <c r="HB188">
        <v>0</v>
      </c>
      <c r="HC188">
        <f t="shared" si="191"/>
        <v>0</v>
      </c>
      <c r="HE188" t="s">
        <v>3</v>
      </c>
      <c r="HF188" t="s">
        <v>3</v>
      </c>
      <c r="HM188" t="s">
        <v>3</v>
      </c>
      <c r="HN188" t="s">
        <v>3</v>
      </c>
      <c r="HO188" t="s">
        <v>3</v>
      </c>
      <c r="HP188" t="s">
        <v>3</v>
      </c>
      <c r="HQ188" t="s">
        <v>3</v>
      </c>
      <c r="IK188">
        <v>0</v>
      </c>
    </row>
    <row r="189" spans="1:245" x14ac:dyDescent="0.2">
      <c r="A189">
        <v>19</v>
      </c>
      <c r="B189">
        <v>1</v>
      </c>
      <c r="F189" t="s">
        <v>3</v>
      </c>
      <c r="G189" t="s">
        <v>258</v>
      </c>
      <c r="H189" t="s">
        <v>3</v>
      </c>
      <c r="AA189">
        <v>1</v>
      </c>
      <c r="IK189">
        <v>0</v>
      </c>
    </row>
    <row r="190" spans="1:245" x14ac:dyDescent="0.2">
      <c r="A190">
        <v>17</v>
      </c>
      <c r="B190">
        <v>1</v>
      </c>
      <c r="D190">
        <f>ROW(EtalonRes!A117)</f>
        <v>117</v>
      </c>
      <c r="E190" t="s">
        <v>259</v>
      </c>
      <c r="F190" t="s">
        <v>260</v>
      </c>
      <c r="G190" t="s">
        <v>261</v>
      </c>
      <c r="H190" t="s">
        <v>18</v>
      </c>
      <c r="I190">
        <f>ROUND(161*7*0.2*0.1/100,9)</f>
        <v>0.22539999999999999</v>
      </c>
      <c r="J190">
        <v>0</v>
      </c>
      <c r="K190">
        <f>ROUND(161*7*0.2*0.1/100,9)</f>
        <v>0.22539999999999999</v>
      </c>
      <c r="O190">
        <f t="shared" ref="O190:O195" si="192">ROUND(CP190,2)</f>
        <v>1211.67</v>
      </c>
      <c r="P190">
        <f t="shared" ref="P190:P195" si="193">ROUND(CQ190*I190,2)</f>
        <v>5.07</v>
      </c>
      <c r="Q190">
        <f t="shared" ref="Q190:Q195" si="194">ROUND(CR190*I190,2)</f>
        <v>0</v>
      </c>
      <c r="R190">
        <f t="shared" ref="R190:R195" si="195">ROUND(CS190*I190,2)</f>
        <v>0</v>
      </c>
      <c r="S190">
        <f t="shared" ref="S190:S195" si="196">ROUND(CT190*I190,2)</f>
        <v>1206.5999999999999</v>
      </c>
      <c r="T190">
        <f t="shared" ref="T190:T195" si="197">ROUND(CU190*I190,2)</f>
        <v>0</v>
      </c>
      <c r="U190">
        <f t="shared" ref="U190:U195" si="198">CV190*I190</f>
        <v>2.254</v>
      </c>
      <c r="V190">
        <f t="shared" ref="V190:V195" si="199">CW190*I190</f>
        <v>0</v>
      </c>
      <c r="W190">
        <f t="shared" ref="W190:W195" si="200">ROUND(CX190*I190,2)</f>
        <v>0</v>
      </c>
      <c r="X190">
        <f t="shared" ref="X190:Y195" si="201">ROUND(CY190,2)</f>
        <v>844.62</v>
      </c>
      <c r="Y190">
        <f t="shared" si="201"/>
        <v>120.66</v>
      </c>
      <c r="AA190">
        <v>1471718271</v>
      </c>
      <c r="AB190">
        <f t="shared" ref="AB190:AB195" si="202">ROUND((AC190+AD190+AF190),6)</f>
        <v>5375.66</v>
      </c>
      <c r="AC190">
        <f t="shared" ref="AC190:AC195" si="203">ROUND((ES190),6)</f>
        <v>22.51</v>
      </c>
      <c r="AD190">
        <f t="shared" ref="AD190:AD195" si="204">ROUND((((ET190)-(EU190))+AE190),6)</f>
        <v>0</v>
      </c>
      <c r="AE190">
        <f t="shared" ref="AE190:AF195" si="205">ROUND((EU190),6)</f>
        <v>0</v>
      </c>
      <c r="AF190">
        <f t="shared" si="205"/>
        <v>5353.15</v>
      </c>
      <c r="AG190">
        <f t="shared" ref="AG190:AG195" si="206">ROUND((AP190),6)</f>
        <v>0</v>
      </c>
      <c r="AH190">
        <f t="shared" ref="AH190:AI195" si="207">(EW190)</f>
        <v>10</v>
      </c>
      <c r="AI190">
        <f t="shared" si="207"/>
        <v>0</v>
      </c>
      <c r="AJ190">
        <f t="shared" ref="AJ190:AJ195" si="208">(AS190)</f>
        <v>0</v>
      </c>
      <c r="AK190">
        <v>5375.66</v>
      </c>
      <c r="AL190">
        <v>22.51</v>
      </c>
      <c r="AM190">
        <v>0</v>
      </c>
      <c r="AN190">
        <v>0</v>
      </c>
      <c r="AO190">
        <v>5353.15</v>
      </c>
      <c r="AP190">
        <v>0</v>
      </c>
      <c r="AQ190">
        <v>10</v>
      </c>
      <c r="AR190">
        <v>0</v>
      </c>
      <c r="AS190">
        <v>0</v>
      </c>
      <c r="AT190">
        <v>70</v>
      </c>
      <c r="AU190">
        <v>10</v>
      </c>
      <c r="AV190">
        <v>1</v>
      </c>
      <c r="AW190">
        <v>1</v>
      </c>
      <c r="AZ190">
        <v>1</v>
      </c>
      <c r="BA190">
        <v>1</v>
      </c>
      <c r="BB190">
        <v>1</v>
      </c>
      <c r="BC190">
        <v>1</v>
      </c>
      <c r="BD190" t="s">
        <v>3</v>
      </c>
      <c r="BE190" t="s">
        <v>3</v>
      </c>
      <c r="BF190" t="s">
        <v>3</v>
      </c>
      <c r="BG190" t="s">
        <v>3</v>
      </c>
      <c r="BH190">
        <v>0</v>
      </c>
      <c r="BI190">
        <v>4</v>
      </c>
      <c r="BJ190" t="s">
        <v>262</v>
      </c>
      <c r="BM190">
        <v>0</v>
      </c>
      <c r="BN190">
        <v>0</v>
      </c>
      <c r="BO190" t="s">
        <v>3</v>
      </c>
      <c r="BP190">
        <v>0</v>
      </c>
      <c r="BQ190">
        <v>1</v>
      </c>
      <c r="BR190">
        <v>0</v>
      </c>
      <c r="BS190">
        <v>1</v>
      </c>
      <c r="BT190">
        <v>1</v>
      </c>
      <c r="BU190">
        <v>1</v>
      </c>
      <c r="BV190">
        <v>1</v>
      </c>
      <c r="BW190">
        <v>1</v>
      </c>
      <c r="BX190">
        <v>1</v>
      </c>
      <c r="BY190" t="s">
        <v>3</v>
      </c>
      <c r="BZ190">
        <v>70</v>
      </c>
      <c r="CA190">
        <v>10</v>
      </c>
      <c r="CB190" t="s">
        <v>3</v>
      </c>
      <c r="CE190">
        <v>0</v>
      </c>
      <c r="CF190">
        <v>0</v>
      </c>
      <c r="CG190">
        <v>0</v>
      </c>
      <c r="CM190">
        <v>0</v>
      </c>
      <c r="CN190" t="s">
        <v>3</v>
      </c>
      <c r="CO190">
        <v>0</v>
      </c>
      <c r="CP190">
        <f t="shared" ref="CP190:CP195" si="209">(P190+Q190+S190)</f>
        <v>1211.6699999999998</v>
      </c>
      <c r="CQ190">
        <f t="shared" ref="CQ190:CQ195" si="210">(AC190*BC190*AW190)</f>
        <v>22.51</v>
      </c>
      <c r="CR190">
        <f t="shared" ref="CR190:CR195" si="211">((((ET190)*BB190-(EU190)*BS190)+AE190*BS190)*AV190)</f>
        <v>0</v>
      </c>
      <c r="CS190">
        <f t="shared" ref="CS190:CS195" si="212">(AE190*BS190*AV190)</f>
        <v>0</v>
      </c>
      <c r="CT190">
        <f t="shared" ref="CT190:CT195" si="213">(AF190*BA190*AV190)</f>
        <v>5353.15</v>
      </c>
      <c r="CU190">
        <f t="shared" ref="CU190:CU195" si="214">AG190</f>
        <v>0</v>
      </c>
      <c r="CV190">
        <f t="shared" ref="CV190:CV195" si="215">(AH190*AV190)</f>
        <v>10</v>
      </c>
      <c r="CW190">
        <f t="shared" ref="CW190:CX195" si="216">AI190</f>
        <v>0</v>
      </c>
      <c r="CX190">
        <f t="shared" si="216"/>
        <v>0</v>
      </c>
      <c r="CY190">
        <f t="shared" ref="CY190:CY195" si="217">((S190*BZ190)/100)</f>
        <v>844.62</v>
      </c>
      <c r="CZ190">
        <f t="shared" ref="CZ190:CZ195" si="218">((S190*CA190)/100)</f>
        <v>120.66</v>
      </c>
      <c r="DC190" t="s">
        <v>3</v>
      </c>
      <c r="DD190" t="s">
        <v>3</v>
      </c>
      <c r="DE190" t="s">
        <v>3</v>
      </c>
      <c r="DF190" t="s">
        <v>3</v>
      </c>
      <c r="DG190" t="s">
        <v>3</v>
      </c>
      <c r="DH190" t="s">
        <v>3</v>
      </c>
      <c r="DI190" t="s">
        <v>3</v>
      </c>
      <c r="DJ190" t="s">
        <v>3</v>
      </c>
      <c r="DK190" t="s">
        <v>3</v>
      </c>
      <c r="DL190" t="s">
        <v>3</v>
      </c>
      <c r="DM190" t="s">
        <v>3</v>
      </c>
      <c r="DN190">
        <v>0</v>
      </c>
      <c r="DO190">
        <v>0</v>
      </c>
      <c r="DP190">
        <v>1</v>
      </c>
      <c r="DQ190">
        <v>1</v>
      </c>
      <c r="DU190">
        <v>1003</v>
      </c>
      <c r="DV190" t="s">
        <v>18</v>
      </c>
      <c r="DW190" t="s">
        <v>18</v>
      </c>
      <c r="DX190">
        <v>100</v>
      </c>
      <c r="DZ190" t="s">
        <v>3</v>
      </c>
      <c r="EA190" t="s">
        <v>3</v>
      </c>
      <c r="EB190" t="s">
        <v>3</v>
      </c>
      <c r="EC190" t="s">
        <v>3</v>
      </c>
      <c r="EE190">
        <v>1441815344</v>
      </c>
      <c r="EF190">
        <v>1</v>
      </c>
      <c r="EG190" t="s">
        <v>21</v>
      </c>
      <c r="EH190">
        <v>0</v>
      </c>
      <c r="EI190" t="s">
        <v>3</v>
      </c>
      <c r="EJ190">
        <v>4</v>
      </c>
      <c r="EK190">
        <v>0</v>
      </c>
      <c r="EL190" t="s">
        <v>22</v>
      </c>
      <c r="EM190" t="s">
        <v>23</v>
      </c>
      <c r="EO190" t="s">
        <v>3</v>
      </c>
      <c r="EQ190">
        <v>0</v>
      </c>
      <c r="ER190">
        <v>5375.66</v>
      </c>
      <c r="ES190">
        <v>22.51</v>
      </c>
      <c r="ET190">
        <v>0</v>
      </c>
      <c r="EU190">
        <v>0</v>
      </c>
      <c r="EV190">
        <v>5353.15</v>
      </c>
      <c r="EW190">
        <v>10</v>
      </c>
      <c r="EX190">
        <v>0</v>
      </c>
      <c r="EY190">
        <v>0</v>
      </c>
      <c r="FQ190">
        <v>0</v>
      </c>
      <c r="FR190">
        <f t="shared" ref="FR190:FR195" si="219">ROUND(IF(BI190=3,GM190,0),2)</f>
        <v>0</v>
      </c>
      <c r="FS190">
        <v>0</v>
      </c>
      <c r="FX190">
        <v>70</v>
      </c>
      <c r="FY190">
        <v>10</v>
      </c>
      <c r="GA190" t="s">
        <v>3</v>
      </c>
      <c r="GD190">
        <v>0</v>
      </c>
      <c r="GF190">
        <v>29112068</v>
      </c>
      <c r="GG190">
        <v>2</v>
      </c>
      <c r="GH190">
        <v>1</v>
      </c>
      <c r="GI190">
        <v>-2</v>
      </c>
      <c r="GJ190">
        <v>0</v>
      </c>
      <c r="GK190">
        <f>ROUND(R190*(R12)/100,2)</f>
        <v>0</v>
      </c>
      <c r="GL190">
        <f t="shared" ref="GL190:GL195" si="220">ROUND(IF(AND(BH190=3,BI190=3,FS190&lt;&gt;0),P190,0),2)</f>
        <v>0</v>
      </c>
      <c r="GM190">
        <f t="shared" ref="GM190:GM195" si="221">ROUND(O190+X190+Y190+GK190,2)+GX190</f>
        <v>2176.9499999999998</v>
      </c>
      <c r="GN190">
        <f t="shared" ref="GN190:GN195" si="222">IF(OR(BI190=0,BI190=1),GM190-GX190,0)</f>
        <v>0</v>
      </c>
      <c r="GO190">
        <f t="shared" ref="GO190:GO195" si="223">IF(BI190=2,GM190-GX190,0)</f>
        <v>0</v>
      </c>
      <c r="GP190">
        <f t="shared" ref="GP190:GP195" si="224">IF(BI190=4,GM190-GX190,0)</f>
        <v>2176.9499999999998</v>
      </c>
      <c r="GR190">
        <v>0</v>
      </c>
      <c r="GS190">
        <v>3</v>
      </c>
      <c r="GT190">
        <v>0</v>
      </c>
      <c r="GU190" t="s">
        <v>3</v>
      </c>
      <c r="GV190">
        <f t="shared" ref="GV190:GV195" si="225">ROUND((GT190),6)</f>
        <v>0</v>
      </c>
      <c r="GW190">
        <v>1</v>
      </c>
      <c r="GX190">
        <f t="shared" ref="GX190:GX195" si="226">ROUND(HC190*I190,2)</f>
        <v>0</v>
      </c>
      <c r="HA190">
        <v>0</v>
      </c>
      <c r="HB190">
        <v>0</v>
      </c>
      <c r="HC190">
        <f t="shared" ref="HC190:HC195" si="227">GV190*GW190</f>
        <v>0</v>
      </c>
      <c r="HE190" t="s">
        <v>3</v>
      </c>
      <c r="HF190" t="s">
        <v>3</v>
      </c>
      <c r="HM190" t="s">
        <v>3</v>
      </c>
      <c r="HN190" t="s">
        <v>3</v>
      </c>
      <c r="HO190" t="s">
        <v>3</v>
      </c>
      <c r="HP190" t="s">
        <v>3</v>
      </c>
      <c r="HQ190" t="s">
        <v>3</v>
      </c>
      <c r="IK190">
        <v>0</v>
      </c>
    </row>
    <row r="191" spans="1:245" x14ac:dyDescent="0.2">
      <c r="A191">
        <v>17</v>
      </c>
      <c r="B191">
        <v>1</v>
      </c>
      <c r="D191">
        <f>ROW(EtalonRes!A118)</f>
        <v>118</v>
      </c>
      <c r="E191" t="s">
        <v>3</v>
      </c>
      <c r="F191" t="s">
        <v>263</v>
      </c>
      <c r="G191" t="s">
        <v>264</v>
      </c>
      <c r="H191" t="s">
        <v>18</v>
      </c>
      <c r="I191">
        <f>ROUND(161*7*0.1/100,9)</f>
        <v>1.127</v>
      </c>
      <c r="J191">
        <v>0</v>
      </c>
      <c r="K191">
        <f>ROUND(161*7*0.1/100,9)</f>
        <v>1.127</v>
      </c>
      <c r="O191">
        <f t="shared" si="192"/>
        <v>199.1</v>
      </c>
      <c r="P191">
        <f t="shared" si="193"/>
        <v>0</v>
      </c>
      <c r="Q191">
        <f t="shared" si="194"/>
        <v>0</v>
      </c>
      <c r="R191">
        <f t="shared" si="195"/>
        <v>0</v>
      </c>
      <c r="S191">
        <f t="shared" si="196"/>
        <v>199.1</v>
      </c>
      <c r="T191">
        <f t="shared" si="197"/>
        <v>0</v>
      </c>
      <c r="U191">
        <f t="shared" si="198"/>
        <v>0.37191000000000002</v>
      </c>
      <c r="V191">
        <f t="shared" si="199"/>
        <v>0</v>
      </c>
      <c r="W191">
        <f t="shared" si="200"/>
        <v>0</v>
      </c>
      <c r="X191">
        <f t="shared" si="201"/>
        <v>139.37</v>
      </c>
      <c r="Y191">
        <f t="shared" si="201"/>
        <v>19.91</v>
      </c>
      <c r="AA191">
        <v>-1</v>
      </c>
      <c r="AB191">
        <f t="shared" si="202"/>
        <v>176.66</v>
      </c>
      <c r="AC191">
        <f t="shared" si="203"/>
        <v>0</v>
      </c>
      <c r="AD191">
        <f t="shared" si="204"/>
        <v>0</v>
      </c>
      <c r="AE191">
        <f t="shared" si="205"/>
        <v>0</v>
      </c>
      <c r="AF191">
        <f t="shared" si="205"/>
        <v>176.66</v>
      </c>
      <c r="AG191">
        <f t="shared" si="206"/>
        <v>0</v>
      </c>
      <c r="AH191">
        <f t="shared" si="207"/>
        <v>0.33</v>
      </c>
      <c r="AI191">
        <f t="shared" si="207"/>
        <v>0</v>
      </c>
      <c r="AJ191">
        <f t="shared" si="208"/>
        <v>0</v>
      </c>
      <c r="AK191">
        <v>176.66</v>
      </c>
      <c r="AL191">
        <v>0</v>
      </c>
      <c r="AM191">
        <v>0</v>
      </c>
      <c r="AN191">
        <v>0</v>
      </c>
      <c r="AO191">
        <v>176.66</v>
      </c>
      <c r="AP191">
        <v>0</v>
      </c>
      <c r="AQ191">
        <v>0.33</v>
      </c>
      <c r="AR191">
        <v>0</v>
      </c>
      <c r="AS191">
        <v>0</v>
      </c>
      <c r="AT191">
        <v>70</v>
      </c>
      <c r="AU191">
        <v>10</v>
      </c>
      <c r="AV191">
        <v>1</v>
      </c>
      <c r="AW191">
        <v>1</v>
      </c>
      <c r="AZ191">
        <v>1</v>
      </c>
      <c r="BA191">
        <v>1</v>
      </c>
      <c r="BB191">
        <v>1</v>
      </c>
      <c r="BC191">
        <v>1</v>
      </c>
      <c r="BD191" t="s">
        <v>3</v>
      </c>
      <c r="BE191" t="s">
        <v>3</v>
      </c>
      <c r="BF191" t="s">
        <v>3</v>
      </c>
      <c r="BG191" t="s">
        <v>3</v>
      </c>
      <c r="BH191">
        <v>0</v>
      </c>
      <c r="BI191">
        <v>4</v>
      </c>
      <c r="BJ191" t="s">
        <v>265</v>
      </c>
      <c r="BM191">
        <v>0</v>
      </c>
      <c r="BN191">
        <v>0</v>
      </c>
      <c r="BO191" t="s">
        <v>3</v>
      </c>
      <c r="BP191">
        <v>0</v>
      </c>
      <c r="BQ191">
        <v>1</v>
      </c>
      <c r="BR191">
        <v>0</v>
      </c>
      <c r="BS191">
        <v>1</v>
      </c>
      <c r="BT191">
        <v>1</v>
      </c>
      <c r="BU191">
        <v>1</v>
      </c>
      <c r="BV191">
        <v>1</v>
      </c>
      <c r="BW191">
        <v>1</v>
      </c>
      <c r="BX191">
        <v>1</v>
      </c>
      <c r="BY191" t="s">
        <v>3</v>
      </c>
      <c r="BZ191">
        <v>70</v>
      </c>
      <c r="CA191">
        <v>10</v>
      </c>
      <c r="CB191" t="s">
        <v>3</v>
      </c>
      <c r="CE191">
        <v>0</v>
      </c>
      <c r="CF191">
        <v>0</v>
      </c>
      <c r="CG191">
        <v>0</v>
      </c>
      <c r="CM191">
        <v>0</v>
      </c>
      <c r="CN191" t="s">
        <v>3</v>
      </c>
      <c r="CO191">
        <v>0</v>
      </c>
      <c r="CP191">
        <f t="shared" si="209"/>
        <v>199.1</v>
      </c>
      <c r="CQ191">
        <f t="shared" si="210"/>
        <v>0</v>
      </c>
      <c r="CR191">
        <f t="shared" si="211"/>
        <v>0</v>
      </c>
      <c r="CS191">
        <f t="shared" si="212"/>
        <v>0</v>
      </c>
      <c r="CT191">
        <f t="shared" si="213"/>
        <v>176.66</v>
      </c>
      <c r="CU191">
        <f t="shared" si="214"/>
        <v>0</v>
      </c>
      <c r="CV191">
        <f t="shared" si="215"/>
        <v>0.33</v>
      </c>
      <c r="CW191">
        <f t="shared" si="216"/>
        <v>0</v>
      </c>
      <c r="CX191">
        <f t="shared" si="216"/>
        <v>0</v>
      </c>
      <c r="CY191">
        <f t="shared" si="217"/>
        <v>139.37</v>
      </c>
      <c r="CZ191">
        <f t="shared" si="218"/>
        <v>19.91</v>
      </c>
      <c r="DC191" t="s">
        <v>3</v>
      </c>
      <c r="DD191" t="s">
        <v>3</v>
      </c>
      <c r="DE191" t="s">
        <v>3</v>
      </c>
      <c r="DF191" t="s">
        <v>3</v>
      </c>
      <c r="DG191" t="s">
        <v>3</v>
      </c>
      <c r="DH191" t="s">
        <v>3</v>
      </c>
      <c r="DI191" t="s">
        <v>3</v>
      </c>
      <c r="DJ191" t="s">
        <v>3</v>
      </c>
      <c r="DK191" t="s">
        <v>3</v>
      </c>
      <c r="DL191" t="s">
        <v>3</v>
      </c>
      <c r="DM191" t="s">
        <v>3</v>
      </c>
      <c r="DN191">
        <v>0</v>
      </c>
      <c r="DO191">
        <v>0</v>
      </c>
      <c r="DP191">
        <v>1</v>
      </c>
      <c r="DQ191">
        <v>1</v>
      </c>
      <c r="DU191">
        <v>1003</v>
      </c>
      <c r="DV191" t="s">
        <v>18</v>
      </c>
      <c r="DW191" t="s">
        <v>18</v>
      </c>
      <c r="DX191">
        <v>100</v>
      </c>
      <c r="DZ191" t="s">
        <v>3</v>
      </c>
      <c r="EA191" t="s">
        <v>3</v>
      </c>
      <c r="EB191" t="s">
        <v>3</v>
      </c>
      <c r="EC191" t="s">
        <v>3</v>
      </c>
      <c r="EE191">
        <v>1441815344</v>
      </c>
      <c r="EF191">
        <v>1</v>
      </c>
      <c r="EG191" t="s">
        <v>21</v>
      </c>
      <c r="EH191">
        <v>0</v>
      </c>
      <c r="EI191" t="s">
        <v>3</v>
      </c>
      <c r="EJ191">
        <v>4</v>
      </c>
      <c r="EK191">
        <v>0</v>
      </c>
      <c r="EL191" t="s">
        <v>22</v>
      </c>
      <c r="EM191" t="s">
        <v>23</v>
      </c>
      <c r="EO191" t="s">
        <v>3</v>
      </c>
      <c r="EQ191">
        <v>1024</v>
      </c>
      <c r="ER191">
        <v>176.66</v>
      </c>
      <c r="ES191">
        <v>0</v>
      </c>
      <c r="ET191">
        <v>0</v>
      </c>
      <c r="EU191">
        <v>0</v>
      </c>
      <c r="EV191">
        <v>176.66</v>
      </c>
      <c r="EW191">
        <v>0.33</v>
      </c>
      <c r="EX191">
        <v>0</v>
      </c>
      <c r="EY191">
        <v>0</v>
      </c>
      <c r="FQ191">
        <v>0</v>
      </c>
      <c r="FR191">
        <f t="shared" si="219"/>
        <v>0</v>
      </c>
      <c r="FS191">
        <v>0</v>
      </c>
      <c r="FX191">
        <v>70</v>
      </c>
      <c r="FY191">
        <v>10</v>
      </c>
      <c r="GA191" t="s">
        <v>3</v>
      </c>
      <c r="GD191">
        <v>0</v>
      </c>
      <c r="GF191">
        <v>-21109996</v>
      </c>
      <c r="GG191">
        <v>2</v>
      </c>
      <c r="GH191">
        <v>1</v>
      </c>
      <c r="GI191">
        <v>-2</v>
      </c>
      <c r="GJ191">
        <v>0</v>
      </c>
      <c r="GK191">
        <f>ROUND(R191*(R12)/100,2)</f>
        <v>0</v>
      </c>
      <c r="GL191">
        <f t="shared" si="220"/>
        <v>0</v>
      </c>
      <c r="GM191">
        <f t="shared" si="221"/>
        <v>358.38</v>
      </c>
      <c r="GN191">
        <f t="shared" si="222"/>
        <v>0</v>
      </c>
      <c r="GO191">
        <f t="shared" si="223"/>
        <v>0</v>
      </c>
      <c r="GP191">
        <f t="shared" si="224"/>
        <v>358.38</v>
      </c>
      <c r="GR191">
        <v>0</v>
      </c>
      <c r="GS191">
        <v>3</v>
      </c>
      <c r="GT191">
        <v>0</v>
      </c>
      <c r="GU191" t="s">
        <v>3</v>
      </c>
      <c r="GV191">
        <f t="shared" si="225"/>
        <v>0</v>
      </c>
      <c r="GW191">
        <v>1</v>
      </c>
      <c r="GX191">
        <f t="shared" si="226"/>
        <v>0</v>
      </c>
      <c r="HA191">
        <v>0</v>
      </c>
      <c r="HB191">
        <v>0</v>
      </c>
      <c r="HC191">
        <f t="shared" si="227"/>
        <v>0</v>
      </c>
      <c r="HE191" t="s">
        <v>3</v>
      </c>
      <c r="HF191" t="s">
        <v>3</v>
      </c>
      <c r="HM191" t="s">
        <v>3</v>
      </c>
      <c r="HN191" t="s">
        <v>3</v>
      </c>
      <c r="HO191" t="s">
        <v>3</v>
      </c>
      <c r="HP191" t="s">
        <v>3</v>
      </c>
      <c r="HQ191" t="s">
        <v>3</v>
      </c>
      <c r="IK191">
        <v>0</v>
      </c>
    </row>
    <row r="192" spans="1:245" x14ac:dyDescent="0.2">
      <c r="A192">
        <v>17</v>
      </c>
      <c r="B192">
        <v>1</v>
      </c>
      <c r="D192">
        <f>ROW(EtalonRes!A120)</f>
        <v>120</v>
      </c>
      <c r="E192" t="s">
        <v>266</v>
      </c>
      <c r="F192" t="s">
        <v>260</v>
      </c>
      <c r="G192" t="s">
        <v>267</v>
      </c>
      <c r="H192" t="s">
        <v>18</v>
      </c>
      <c r="I192">
        <f>ROUND(116*7*0.2*0.1/100,9)</f>
        <v>0.16239999999999999</v>
      </c>
      <c r="J192">
        <v>0</v>
      </c>
      <c r="K192">
        <f>ROUND(116*7*0.2*0.1/100,9)</f>
        <v>0.16239999999999999</v>
      </c>
      <c r="O192">
        <f t="shared" si="192"/>
        <v>873.01</v>
      </c>
      <c r="P192">
        <f t="shared" si="193"/>
        <v>3.66</v>
      </c>
      <c r="Q192">
        <f t="shared" si="194"/>
        <v>0</v>
      </c>
      <c r="R192">
        <f t="shared" si="195"/>
        <v>0</v>
      </c>
      <c r="S192">
        <f t="shared" si="196"/>
        <v>869.35</v>
      </c>
      <c r="T192">
        <f t="shared" si="197"/>
        <v>0</v>
      </c>
      <c r="U192">
        <f t="shared" si="198"/>
        <v>1.6239999999999999</v>
      </c>
      <c r="V192">
        <f t="shared" si="199"/>
        <v>0</v>
      </c>
      <c r="W192">
        <f t="shared" si="200"/>
        <v>0</v>
      </c>
      <c r="X192">
        <f t="shared" si="201"/>
        <v>608.54999999999995</v>
      </c>
      <c r="Y192">
        <f t="shared" si="201"/>
        <v>86.94</v>
      </c>
      <c r="AA192">
        <v>1471718271</v>
      </c>
      <c r="AB192">
        <f t="shared" si="202"/>
        <v>5375.66</v>
      </c>
      <c r="AC192">
        <f t="shared" si="203"/>
        <v>22.51</v>
      </c>
      <c r="AD192">
        <f t="shared" si="204"/>
        <v>0</v>
      </c>
      <c r="AE192">
        <f t="shared" si="205"/>
        <v>0</v>
      </c>
      <c r="AF192">
        <f t="shared" si="205"/>
        <v>5353.15</v>
      </c>
      <c r="AG192">
        <f t="shared" si="206"/>
        <v>0</v>
      </c>
      <c r="AH192">
        <f t="shared" si="207"/>
        <v>10</v>
      </c>
      <c r="AI192">
        <f t="shared" si="207"/>
        <v>0</v>
      </c>
      <c r="AJ192">
        <f t="shared" si="208"/>
        <v>0</v>
      </c>
      <c r="AK192">
        <v>5375.66</v>
      </c>
      <c r="AL192">
        <v>22.51</v>
      </c>
      <c r="AM192">
        <v>0</v>
      </c>
      <c r="AN192">
        <v>0</v>
      </c>
      <c r="AO192">
        <v>5353.15</v>
      </c>
      <c r="AP192">
        <v>0</v>
      </c>
      <c r="AQ192">
        <v>10</v>
      </c>
      <c r="AR192">
        <v>0</v>
      </c>
      <c r="AS192">
        <v>0</v>
      </c>
      <c r="AT192">
        <v>70</v>
      </c>
      <c r="AU192">
        <v>10</v>
      </c>
      <c r="AV192">
        <v>1</v>
      </c>
      <c r="AW192">
        <v>1</v>
      </c>
      <c r="AZ192">
        <v>1</v>
      </c>
      <c r="BA192">
        <v>1</v>
      </c>
      <c r="BB192">
        <v>1</v>
      </c>
      <c r="BC192">
        <v>1</v>
      </c>
      <c r="BD192" t="s">
        <v>3</v>
      </c>
      <c r="BE192" t="s">
        <v>3</v>
      </c>
      <c r="BF192" t="s">
        <v>3</v>
      </c>
      <c r="BG192" t="s">
        <v>3</v>
      </c>
      <c r="BH192">
        <v>0</v>
      </c>
      <c r="BI192">
        <v>4</v>
      </c>
      <c r="BJ192" t="s">
        <v>262</v>
      </c>
      <c r="BM192">
        <v>0</v>
      </c>
      <c r="BN192">
        <v>0</v>
      </c>
      <c r="BO192" t="s">
        <v>3</v>
      </c>
      <c r="BP192">
        <v>0</v>
      </c>
      <c r="BQ192">
        <v>1</v>
      </c>
      <c r="BR192">
        <v>0</v>
      </c>
      <c r="BS192">
        <v>1</v>
      </c>
      <c r="BT192">
        <v>1</v>
      </c>
      <c r="BU192">
        <v>1</v>
      </c>
      <c r="BV192">
        <v>1</v>
      </c>
      <c r="BW192">
        <v>1</v>
      </c>
      <c r="BX192">
        <v>1</v>
      </c>
      <c r="BY192" t="s">
        <v>3</v>
      </c>
      <c r="BZ192">
        <v>70</v>
      </c>
      <c r="CA192">
        <v>10</v>
      </c>
      <c r="CB192" t="s">
        <v>3</v>
      </c>
      <c r="CE192">
        <v>0</v>
      </c>
      <c r="CF192">
        <v>0</v>
      </c>
      <c r="CG192">
        <v>0</v>
      </c>
      <c r="CM192">
        <v>0</v>
      </c>
      <c r="CN192" t="s">
        <v>3</v>
      </c>
      <c r="CO192">
        <v>0</v>
      </c>
      <c r="CP192">
        <f t="shared" si="209"/>
        <v>873.01</v>
      </c>
      <c r="CQ192">
        <f t="shared" si="210"/>
        <v>22.51</v>
      </c>
      <c r="CR192">
        <f t="shared" si="211"/>
        <v>0</v>
      </c>
      <c r="CS192">
        <f t="shared" si="212"/>
        <v>0</v>
      </c>
      <c r="CT192">
        <f t="shared" si="213"/>
        <v>5353.15</v>
      </c>
      <c r="CU192">
        <f t="shared" si="214"/>
        <v>0</v>
      </c>
      <c r="CV192">
        <f t="shared" si="215"/>
        <v>10</v>
      </c>
      <c r="CW192">
        <f t="shared" si="216"/>
        <v>0</v>
      </c>
      <c r="CX192">
        <f t="shared" si="216"/>
        <v>0</v>
      </c>
      <c r="CY192">
        <f t="shared" si="217"/>
        <v>608.54499999999996</v>
      </c>
      <c r="CZ192">
        <f t="shared" si="218"/>
        <v>86.935000000000002</v>
      </c>
      <c r="DC192" t="s">
        <v>3</v>
      </c>
      <c r="DD192" t="s">
        <v>3</v>
      </c>
      <c r="DE192" t="s">
        <v>3</v>
      </c>
      <c r="DF192" t="s">
        <v>3</v>
      </c>
      <c r="DG192" t="s">
        <v>3</v>
      </c>
      <c r="DH192" t="s">
        <v>3</v>
      </c>
      <c r="DI192" t="s">
        <v>3</v>
      </c>
      <c r="DJ192" t="s">
        <v>3</v>
      </c>
      <c r="DK192" t="s">
        <v>3</v>
      </c>
      <c r="DL192" t="s">
        <v>3</v>
      </c>
      <c r="DM192" t="s">
        <v>3</v>
      </c>
      <c r="DN192">
        <v>0</v>
      </c>
      <c r="DO192">
        <v>0</v>
      </c>
      <c r="DP192">
        <v>1</v>
      </c>
      <c r="DQ192">
        <v>1</v>
      </c>
      <c r="DU192">
        <v>1003</v>
      </c>
      <c r="DV192" t="s">
        <v>18</v>
      </c>
      <c r="DW192" t="s">
        <v>18</v>
      </c>
      <c r="DX192">
        <v>100</v>
      </c>
      <c r="DZ192" t="s">
        <v>3</v>
      </c>
      <c r="EA192" t="s">
        <v>3</v>
      </c>
      <c r="EB192" t="s">
        <v>3</v>
      </c>
      <c r="EC192" t="s">
        <v>3</v>
      </c>
      <c r="EE192">
        <v>1441815344</v>
      </c>
      <c r="EF192">
        <v>1</v>
      </c>
      <c r="EG192" t="s">
        <v>21</v>
      </c>
      <c r="EH192">
        <v>0</v>
      </c>
      <c r="EI192" t="s">
        <v>3</v>
      </c>
      <c r="EJ192">
        <v>4</v>
      </c>
      <c r="EK192">
        <v>0</v>
      </c>
      <c r="EL192" t="s">
        <v>22</v>
      </c>
      <c r="EM192" t="s">
        <v>23</v>
      </c>
      <c r="EO192" t="s">
        <v>3</v>
      </c>
      <c r="EQ192">
        <v>0</v>
      </c>
      <c r="ER192">
        <v>5375.66</v>
      </c>
      <c r="ES192">
        <v>22.51</v>
      </c>
      <c r="ET192">
        <v>0</v>
      </c>
      <c r="EU192">
        <v>0</v>
      </c>
      <c r="EV192">
        <v>5353.15</v>
      </c>
      <c r="EW192">
        <v>10</v>
      </c>
      <c r="EX192">
        <v>0</v>
      </c>
      <c r="EY192">
        <v>0</v>
      </c>
      <c r="FQ192">
        <v>0</v>
      </c>
      <c r="FR192">
        <f t="shared" si="219"/>
        <v>0</v>
      </c>
      <c r="FS192">
        <v>0</v>
      </c>
      <c r="FX192">
        <v>70</v>
      </c>
      <c r="FY192">
        <v>10</v>
      </c>
      <c r="GA192" t="s">
        <v>3</v>
      </c>
      <c r="GD192">
        <v>0</v>
      </c>
      <c r="GF192">
        <v>409781007</v>
      </c>
      <c r="GG192">
        <v>2</v>
      </c>
      <c r="GH192">
        <v>1</v>
      </c>
      <c r="GI192">
        <v>-2</v>
      </c>
      <c r="GJ192">
        <v>0</v>
      </c>
      <c r="GK192">
        <f>ROUND(R192*(R12)/100,2)</f>
        <v>0</v>
      </c>
      <c r="GL192">
        <f t="shared" si="220"/>
        <v>0</v>
      </c>
      <c r="GM192">
        <f t="shared" si="221"/>
        <v>1568.5</v>
      </c>
      <c r="GN192">
        <f t="shared" si="222"/>
        <v>0</v>
      </c>
      <c r="GO192">
        <f t="shared" si="223"/>
        <v>0</v>
      </c>
      <c r="GP192">
        <f t="shared" si="224"/>
        <v>1568.5</v>
      </c>
      <c r="GR192">
        <v>0</v>
      </c>
      <c r="GS192">
        <v>3</v>
      </c>
      <c r="GT192">
        <v>0</v>
      </c>
      <c r="GU192" t="s">
        <v>3</v>
      </c>
      <c r="GV192">
        <f t="shared" si="225"/>
        <v>0</v>
      </c>
      <c r="GW192">
        <v>1</v>
      </c>
      <c r="GX192">
        <f t="shared" si="226"/>
        <v>0</v>
      </c>
      <c r="HA192">
        <v>0</v>
      </c>
      <c r="HB192">
        <v>0</v>
      </c>
      <c r="HC192">
        <f t="shared" si="227"/>
        <v>0</v>
      </c>
      <c r="HE192" t="s">
        <v>3</v>
      </c>
      <c r="HF192" t="s">
        <v>3</v>
      </c>
      <c r="HM192" t="s">
        <v>3</v>
      </c>
      <c r="HN192" t="s">
        <v>3</v>
      </c>
      <c r="HO192" t="s">
        <v>3</v>
      </c>
      <c r="HP192" t="s">
        <v>3</v>
      </c>
      <c r="HQ192" t="s">
        <v>3</v>
      </c>
      <c r="IK192">
        <v>0</v>
      </c>
    </row>
    <row r="193" spans="1:245" x14ac:dyDescent="0.2">
      <c r="A193">
        <v>17</v>
      </c>
      <c r="B193">
        <v>1</v>
      </c>
      <c r="D193">
        <f>ROW(EtalonRes!A121)</f>
        <v>121</v>
      </c>
      <c r="E193" t="s">
        <v>3</v>
      </c>
      <c r="F193" t="s">
        <v>263</v>
      </c>
      <c r="G193" t="s">
        <v>268</v>
      </c>
      <c r="H193" t="s">
        <v>18</v>
      </c>
      <c r="I193">
        <f>ROUND(116*7*0.1/100,9)</f>
        <v>0.81200000000000006</v>
      </c>
      <c r="J193">
        <v>0</v>
      </c>
      <c r="K193">
        <f>ROUND(116*7*0.1/100,9)</f>
        <v>0.81200000000000006</v>
      </c>
      <c r="O193">
        <f t="shared" si="192"/>
        <v>143.44999999999999</v>
      </c>
      <c r="P193">
        <f t="shared" si="193"/>
        <v>0</v>
      </c>
      <c r="Q193">
        <f t="shared" si="194"/>
        <v>0</v>
      </c>
      <c r="R193">
        <f t="shared" si="195"/>
        <v>0</v>
      </c>
      <c r="S193">
        <f t="shared" si="196"/>
        <v>143.44999999999999</v>
      </c>
      <c r="T193">
        <f t="shared" si="197"/>
        <v>0</v>
      </c>
      <c r="U193">
        <f t="shared" si="198"/>
        <v>0.26796000000000003</v>
      </c>
      <c r="V193">
        <f t="shared" si="199"/>
        <v>0</v>
      </c>
      <c r="W193">
        <f t="shared" si="200"/>
        <v>0</v>
      </c>
      <c r="X193">
        <f t="shared" si="201"/>
        <v>100.42</v>
      </c>
      <c r="Y193">
        <f t="shared" si="201"/>
        <v>14.35</v>
      </c>
      <c r="AA193">
        <v>-1</v>
      </c>
      <c r="AB193">
        <f t="shared" si="202"/>
        <v>176.66</v>
      </c>
      <c r="AC193">
        <f t="shared" si="203"/>
        <v>0</v>
      </c>
      <c r="AD193">
        <f t="shared" si="204"/>
        <v>0</v>
      </c>
      <c r="AE193">
        <f t="shared" si="205"/>
        <v>0</v>
      </c>
      <c r="AF193">
        <f t="shared" si="205"/>
        <v>176.66</v>
      </c>
      <c r="AG193">
        <f t="shared" si="206"/>
        <v>0</v>
      </c>
      <c r="AH193">
        <f t="shared" si="207"/>
        <v>0.33</v>
      </c>
      <c r="AI193">
        <f t="shared" si="207"/>
        <v>0</v>
      </c>
      <c r="AJ193">
        <f t="shared" si="208"/>
        <v>0</v>
      </c>
      <c r="AK193">
        <v>176.66</v>
      </c>
      <c r="AL193">
        <v>0</v>
      </c>
      <c r="AM193">
        <v>0</v>
      </c>
      <c r="AN193">
        <v>0</v>
      </c>
      <c r="AO193">
        <v>176.66</v>
      </c>
      <c r="AP193">
        <v>0</v>
      </c>
      <c r="AQ193">
        <v>0.33</v>
      </c>
      <c r="AR193">
        <v>0</v>
      </c>
      <c r="AS193">
        <v>0</v>
      </c>
      <c r="AT193">
        <v>70</v>
      </c>
      <c r="AU193">
        <v>10</v>
      </c>
      <c r="AV193">
        <v>1</v>
      </c>
      <c r="AW193">
        <v>1</v>
      </c>
      <c r="AZ193">
        <v>1</v>
      </c>
      <c r="BA193">
        <v>1</v>
      </c>
      <c r="BB193">
        <v>1</v>
      </c>
      <c r="BC193">
        <v>1</v>
      </c>
      <c r="BD193" t="s">
        <v>3</v>
      </c>
      <c r="BE193" t="s">
        <v>3</v>
      </c>
      <c r="BF193" t="s">
        <v>3</v>
      </c>
      <c r="BG193" t="s">
        <v>3</v>
      </c>
      <c r="BH193">
        <v>0</v>
      </c>
      <c r="BI193">
        <v>4</v>
      </c>
      <c r="BJ193" t="s">
        <v>265</v>
      </c>
      <c r="BM193">
        <v>0</v>
      </c>
      <c r="BN193">
        <v>0</v>
      </c>
      <c r="BO193" t="s">
        <v>3</v>
      </c>
      <c r="BP193">
        <v>0</v>
      </c>
      <c r="BQ193">
        <v>1</v>
      </c>
      <c r="BR193">
        <v>0</v>
      </c>
      <c r="BS193">
        <v>1</v>
      </c>
      <c r="BT193">
        <v>1</v>
      </c>
      <c r="BU193">
        <v>1</v>
      </c>
      <c r="BV193">
        <v>1</v>
      </c>
      <c r="BW193">
        <v>1</v>
      </c>
      <c r="BX193">
        <v>1</v>
      </c>
      <c r="BY193" t="s">
        <v>3</v>
      </c>
      <c r="BZ193">
        <v>70</v>
      </c>
      <c r="CA193">
        <v>10</v>
      </c>
      <c r="CB193" t="s">
        <v>3</v>
      </c>
      <c r="CE193">
        <v>0</v>
      </c>
      <c r="CF193">
        <v>0</v>
      </c>
      <c r="CG193">
        <v>0</v>
      </c>
      <c r="CM193">
        <v>0</v>
      </c>
      <c r="CN193" t="s">
        <v>3</v>
      </c>
      <c r="CO193">
        <v>0</v>
      </c>
      <c r="CP193">
        <f t="shared" si="209"/>
        <v>143.44999999999999</v>
      </c>
      <c r="CQ193">
        <f t="shared" si="210"/>
        <v>0</v>
      </c>
      <c r="CR193">
        <f t="shared" si="211"/>
        <v>0</v>
      </c>
      <c r="CS193">
        <f t="shared" si="212"/>
        <v>0</v>
      </c>
      <c r="CT193">
        <f t="shared" si="213"/>
        <v>176.66</v>
      </c>
      <c r="CU193">
        <f t="shared" si="214"/>
        <v>0</v>
      </c>
      <c r="CV193">
        <f t="shared" si="215"/>
        <v>0.33</v>
      </c>
      <c r="CW193">
        <f t="shared" si="216"/>
        <v>0</v>
      </c>
      <c r="CX193">
        <f t="shared" si="216"/>
        <v>0</v>
      </c>
      <c r="CY193">
        <f t="shared" si="217"/>
        <v>100.41500000000001</v>
      </c>
      <c r="CZ193">
        <f t="shared" si="218"/>
        <v>14.345000000000001</v>
      </c>
      <c r="DC193" t="s">
        <v>3</v>
      </c>
      <c r="DD193" t="s">
        <v>3</v>
      </c>
      <c r="DE193" t="s">
        <v>3</v>
      </c>
      <c r="DF193" t="s">
        <v>3</v>
      </c>
      <c r="DG193" t="s">
        <v>3</v>
      </c>
      <c r="DH193" t="s">
        <v>3</v>
      </c>
      <c r="DI193" t="s">
        <v>3</v>
      </c>
      <c r="DJ193" t="s">
        <v>3</v>
      </c>
      <c r="DK193" t="s">
        <v>3</v>
      </c>
      <c r="DL193" t="s">
        <v>3</v>
      </c>
      <c r="DM193" t="s">
        <v>3</v>
      </c>
      <c r="DN193">
        <v>0</v>
      </c>
      <c r="DO193">
        <v>0</v>
      </c>
      <c r="DP193">
        <v>1</v>
      </c>
      <c r="DQ193">
        <v>1</v>
      </c>
      <c r="DU193">
        <v>1003</v>
      </c>
      <c r="DV193" t="s">
        <v>18</v>
      </c>
      <c r="DW193" t="s">
        <v>18</v>
      </c>
      <c r="DX193">
        <v>100</v>
      </c>
      <c r="DZ193" t="s">
        <v>3</v>
      </c>
      <c r="EA193" t="s">
        <v>3</v>
      </c>
      <c r="EB193" t="s">
        <v>3</v>
      </c>
      <c r="EC193" t="s">
        <v>3</v>
      </c>
      <c r="EE193">
        <v>1441815344</v>
      </c>
      <c r="EF193">
        <v>1</v>
      </c>
      <c r="EG193" t="s">
        <v>21</v>
      </c>
      <c r="EH193">
        <v>0</v>
      </c>
      <c r="EI193" t="s">
        <v>3</v>
      </c>
      <c r="EJ193">
        <v>4</v>
      </c>
      <c r="EK193">
        <v>0</v>
      </c>
      <c r="EL193" t="s">
        <v>22</v>
      </c>
      <c r="EM193" t="s">
        <v>23</v>
      </c>
      <c r="EO193" t="s">
        <v>3</v>
      </c>
      <c r="EQ193">
        <v>1024</v>
      </c>
      <c r="ER193">
        <v>176.66</v>
      </c>
      <c r="ES193">
        <v>0</v>
      </c>
      <c r="ET193">
        <v>0</v>
      </c>
      <c r="EU193">
        <v>0</v>
      </c>
      <c r="EV193">
        <v>176.66</v>
      </c>
      <c r="EW193">
        <v>0.33</v>
      </c>
      <c r="EX193">
        <v>0</v>
      </c>
      <c r="EY193">
        <v>0</v>
      </c>
      <c r="FQ193">
        <v>0</v>
      </c>
      <c r="FR193">
        <f t="shared" si="219"/>
        <v>0</v>
      </c>
      <c r="FS193">
        <v>0</v>
      </c>
      <c r="FX193">
        <v>70</v>
      </c>
      <c r="FY193">
        <v>10</v>
      </c>
      <c r="GA193" t="s">
        <v>3</v>
      </c>
      <c r="GD193">
        <v>0</v>
      </c>
      <c r="GF193">
        <v>-89122687</v>
      </c>
      <c r="GG193">
        <v>2</v>
      </c>
      <c r="GH193">
        <v>1</v>
      </c>
      <c r="GI193">
        <v>-2</v>
      </c>
      <c r="GJ193">
        <v>0</v>
      </c>
      <c r="GK193">
        <f>ROUND(R193*(R12)/100,2)</f>
        <v>0</v>
      </c>
      <c r="GL193">
        <f t="shared" si="220"/>
        <v>0</v>
      </c>
      <c r="GM193">
        <f t="shared" si="221"/>
        <v>258.22000000000003</v>
      </c>
      <c r="GN193">
        <f t="shared" si="222"/>
        <v>0</v>
      </c>
      <c r="GO193">
        <f t="shared" si="223"/>
        <v>0</v>
      </c>
      <c r="GP193">
        <f t="shared" si="224"/>
        <v>258.22000000000003</v>
      </c>
      <c r="GR193">
        <v>0</v>
      </c>
      <c r="GS193">
        <v>3</v>
      </c>
      <c r="GT193">
        <v>0</v>
      </c>
      <c r="GU193" t="s">
        <v>3</v>
      </c>
      <c r="GV193">
        <f t="shared" si="225"/>
        <v>0</v>
      </c>
      <c r="GW193">
        <v>1</v>
      </c>
      <c r="GX193">
        <f t="shared" si="226"/>
        <v>0</v>
      </c>
      <c r="HA193">
        <v>0</v>
      </c>
      <c r="HB193">
        <v>0</v>
      </c>
      <c r="HC193">
        <f t="shared" si="227"/>
        <v>0</v>
      </c>
      <c r="HE193" t="s">
        <v>3</v>
      </c>
      <c r="HF193" t="s">
        <v>3</v>
      </c>
      <c r="HM193" t="s">
        <v>3</v>
      </c>
      <c r="HN193" t="s">
        <v>3</v>
      </c>
      <c r="HO193" t="s">
        <v>3</v>
      </c>
      <c r="HP193" t="s">
        <v>3</v>
      </c>
      <c r="HQ193" t="s">
        <v>3</v>
      </c>
      <c r="IK193">
        <v>0</v>
      </c>
    </row>
    <row r="194" spans="1:245" x14ac:dyDescent="0.2">
      <c r="A194">
        <v>17</v>
      </c>
      <c r="B194">
        <v>1</v>
      </c>
      <c r="D194">
        <f>ROW(EtalonRes!A123)</f>
        <v>123</v>
      </c>
      <c r="E194" t="s">
        <v>3</v>
      </c>
      <c r="F194" t="s">
        <v>269</v>
      </c>
      <c r="G194" t="s">
        <v>270</v>
      </c>
      <c r="H194" t="s">
        <v>18</v>
      </c>
      <c r="I194">
        <f>ROUND((4+6)*7*0.1/100,9)</f>
        <v>7.0000000000000007E-2</v>
      </c>
      <c r="J194">
        <v>0</v>
      </c>
      <c r="K194">
        <f>ROUND((4+6)*7*0.1/100,9)</f>
        <v>7.0000000000000007E-2</v>
      </c>
      <c r="O194">
        <f t="shared" si="192"/>
        <v>417.52</v>
      </c>
      <c r="P194">
        <f t="shared" si="193"/>
        <v>1.58</v>
      </c>
      <c r="Q194">
        <f t="shared" si="194"/>
        <v>0</v>
      </c>
      <c r="R194">
        <f t="shared" si="195"/>
        <v>0</v>
      </c>
      <c r="S194">
        <f t="shared" si="196"/>
        <v>415.94</v>
      </c>
      <c r="T194">
        <f t="shared" si="197"/>
        <v>0</v>
      </c>
      <c r="U194">
        <f t="shared" si="198"/>
        <v>0.77700000000000002</v>
      </c>
      <c r="V194">
        <f t="shared" si="199"/>
        <v>0</v>
      </c>
      <c r="W194">
        <f t="shared" si="200"/>
        <v>0</v>
      </c>
      <c r="X194">
        <f t="shared" si="201"/>
        <v>291.16000000000003</v>
      </c>
      <c r="Y194">
        <f t="shared" si="201"/>
        <v>41.59</v>
      </c>
      <c r="AA194">
        <v>-1</v>
      </c>
      <c r="AB194">
        <f t="shared" si="202"/>
        <v>5964.51</v>
      </c>
      <c r="AC194">
        <f t="shared" si="203"/>
        <v>22.51</v>
      </c>
      <c r="AD194">
        <f t="shared" si="204"/>
        <v>0</v>
      </c>
      <c r="AE194">
        <f t="shared" si="205"/>
        <v>0</v>
      </c>
      <c r="AF194">
        <f t="shared" si="205"/>
        <v>5942</v>
      </c>
      <c r="AG194">
        <f t="shared" si="206"/>
        <v>0</v>
      </c>
      <c r="AH194">
        <f t="shared" si="207"/>
        <v>11.1</v>
      </c>
      <c r="AI194">
        <f t="shared" si="207"/>
        <v>0</v>
      </c>
      <c r="AJ194">
        <f t="shared" si="208"/>
        <v>0</v>
      </c>
      <c r="AK194">
        <v>5964.51</v>
      </c>
      <c r="AL194">
        <v>22.51</v>
      </c>
      <c r="AM194">
        <v>0</v>
      </c>
      <c r="AN194">
        <v>0</v>
      </c>
      <c r="AO194">
        <v>5942</v>
      </c>
      <c r="AP194">
        <v>0</v>
      </c>
      <c r="AQ194">
        <v>11.1</v>
      </c>
      <c r="AR194">
        <v>0</v>
      </c>
      <c r="AS194">
        <v>0</v>
      </c>
      <c r="AT194">
        <v>70</v>
      </c>
      <c r="AU194">
        <v>10</v>
      </c>
      <c r="AV194">
        <v>1</v>
      </c>
      <c r="AW194">
        <v>1</v>
      </c>
      <c r="AZ194">
        <v>1</v>
      </c>
      <c r="BA194">
        <v>1</v>
      </c>
      <c r="BB194">
        <v>1</v>
      </c>
      <c r="BC194">
        <v>1</v>
      </c>
      <c r="BD194" t="s">
        <v>3</v>
      </c>
      <c r="BE194" t="s">
        <v>3</v>
      </c>
      <c r="BF194" t="s">
        <v>3</v>
      </c>
      <c r="BG194" t="s">
        <v>3</v>
      </c>
      <c r="BH194">
        <v>0</v>
      </c>
      <c r="BI194">
        <v>4</v>
      </c>
      <c r="BJ194" t="s">
        <v>271</v>
      </c>
      <c r="BM194">
        <v>0</v>
      </c>
      <c r="BN194">
        <v>0</v>
      </c>
      <c r="BO194" t="s">
        <v>3</v>
      </c>
      <c r="BP194">
        <v>0</v>
      </c>
      <c r="BQ194">
        <v>1</v>
      </c>
      <c r="BR194">
        <v>0</v>
      </c>
      <c r="BS194">
        <v>1</v>
      </c>
      <c r="BT194">
        <v>1</v>
      </c>
      <c r="BU194">
        <v>1</v>
      </c>
      <c r="BV194">
        <v>1</v>
      </c>
      <c r="BW194">
        <v>1</v>
      </c>
      <c r="BX194">
        <v>1</v>
      </c>
      <c r="BY194" t="s">
        <v>3</v>
      </c>
      <c r="BZ194">
        <v>70</v>
      </c>
      <c r="CA194">
        <v>10</v>
      </c>
      <c r="CB194" t="s">
        <v>3</v>
      </c>
      <c r="CE194">
        <v>0</v>
      </c>
      <c r="CF194">
        <v>0</v>
      </c>
      <c r="CG194">
        <v>0</v>
      </c>
      <c r="CM194">
        <v>0</v>
      </c>
      <c r="CN194" t="s">
        <v>3</v>
      </c>
      <c r="CO194">
        <v>0</v>
      </c>
      <c r="CP194">
        <f t="shared" si="209"/>
        <v>417.52</v>
      </c>
      <c r="CQ194">
        <f t="shared" si="210"/>
        <v>22.51</v>
      </c>
      <c r="CR194">
        <f t="shared" si="211"/>
        <v>0</v>
      </c>
      <c r="CS194">
        <f t="shared" si="212"/>
        <v>0</v>
      </c>
      <c r="CT194">
        <f t="shared" si="213"/>
        <v>5942</v>
      </c>
      <c r="CU194">
        <f t="shared" si="214"/>
        <v>0</v>
      </c>
      <c r="CV194">
        <f t="shared" si="215"/>
        <v>11.1</v>
      </c>
      <c r="CW194">
        <f t="shared" si="216"/>
        <v>0</v>
      </c>
      <c r="CX194">
        <f t="shared" si="216"/>
        <v>0</v>
      </c>
      <c r="CY194">
        <f t="shared" si="217"/>
        <v>291.15800000000002</v>
      </c>
      <c r="CZ194">
        <f t="shared" si="218"/>
        <v>41.593999999999994</v>
      </c>
      <c r="DC194" t="s">
        <v>3</v>
      </c>
      <c r="DD194" t="s">
        <v>3</v>
      </c>
      <c r="DE194" t="s">
        <v>3</v>
      </c>
      <c r="DF194" t="s">
        <v>3</v>
      </c>
      <c r="DG194" t="s">
        <v>3</v>
      </c>
      <c r="DH194" t="s">
        <v>3</v>
      </c>
      <c r="DI194" t="s">
        <v>3</v>
      </c>
      <c r="DJ194" t="s">
        <v>3</v>
      </c>
      <c r="DK194" t="s">
        <v>3</v>
      </c>
      <c r="DL194" t="s">
        <v>3</v>
      </c>
      <c r="DM194" t="s">
        <v>3</v>
      </c>
      <c r="DN194">
        <v>0</v>
      </c>
      <c r="DO194">
        <v>0</v>
      </c>
      <c r="DP194">
        <v>1</v>
      </c>
      <c r="DQ194">
        <v>1</v>
      </c>
      <c r="DU194">
        <v>1003</v>
      </c>
      <c r="DV194" t="s">
        <v>18</v>
      </c>
      <c r="DW194" t="s">
        <v>18</v>
      </c>
      <c r="DX194">
        <v>100</v>
      </c>
      <c r="DZ194" t="s">
        <v>3</v>
      </c>
      <c r="EA194" t="s">
        <v>3</v>
      </c>
      <c r="EB194" t="s">
        <v>3</v>
      </c>
      <c r="EC194" t="s">
        <v>3</v>
      </c>
      <c r="EE194">
        <v>1441815344</v>
      </c>
      <c r="EF194">
        <v>1</v>
      </c>
      <c r="EG194" t="s">
        <v>21</v>
      </c>
      <c r="EH194">
        <v>0</v>
      </c>
      <c r="EI194" t="s">
        <v>3</v>
      </c>
      <c r="EJ194">
        <v>4</v>
      </c>
      <c r="EK194">
        <v>0</v>
      </c>
      <c r="EL194" t="s">
        <v>22</v>
      </c>
      <c r="EM194" t="s">
        <v>23</v>
      </c>
      <c r="EO194" t="s">
        <v>3</v>
      </c>
      <c r="EQ194">
        <v>1311744</v>
      </c>
      <c r="ER194">
        <v>5964.51</v>
      </c>
      <c r="ES194">
        <v>22.51</v>
      </c>
      <c r="ET194">
        <v>0</v>
      </c>
      <c r="EU194">
        <v>0</v>
      </c>
      <c r="EV194">
        <v>5942</v>
      </c>
      <c r="EW194">
        <v>11.1</v>
      </c>
      <c r="EX194">
        <v>0</v>
      </c>
      <c r="EY194">
        <v>0</v>
      </c>
      <c r="FQ194">
        <v>0</v>
      </c>
      <c r="FR194">
        <f t="shared" si="219"/>
        <v>0</v>
      </c>
      <c r="FS194">
        <v>0</v>
      </c>
      <c r="FX194">
        <v>70</v>
      </c>
      <c r="FY194">
        <v>10</v>
      </c>
      <c r="GA194" t="s">
        <v>3</v>
      </c>
      <c r="GD194">
        <v>0</v>
      </c>
      <c r="GF194">
        <v>1193509070</v>
      </c>
      <c r="GG194">
        <v>2</v>
      </c>
      <c r="GH194">
        <v>1</v>
      </c>
      <c r="GI194">
        <v>-2</v>
      </c>
      <c r="GJ194">
        <v>0</v>
      </c>
      <c r="GK194">
        <f>ROUND(R194*(R12)/100,2)</f>
        <v>0</v>
      </c>
      <c r="GL194">
        <f t="shared" si="220"/>
        <v>0</v>
      </c>
      <c r="GM194">
        <f t="shared" si="221"/>
        <v>750.27</v>
      </c>
      <c r="GN194">
        <f t="shared" si="222"/>
        <v>0</v>
      </c>
      <c r="GO194">
        <f t="shared" si="223"/>
        <v>0</v>
      </c>
      <c r="GP194">
        <f t="shared" si="224"/>
        <v>750.27</v>
      </c>
      <c r="GR194">
        <v>0</v>
      </c>
      <c r="GS194">
        <v>3</v>
      </c>
      <c r="GT194">
        <v>0</v>
      </c>
      <c r="GU194" t="s">
        <v>3</v>
      </c>
      <c r="GV194">
        <f t="shared" si="225"/>
        <v>0</v>
      </c>
      <c r="GW194">
        <v>1</v>
      </c>
      <c r="GX194">
        <f t="shared" si="226"/>
        <v>0</v>
      </c>
      <c r="HA194">
        <v>0</v>
      </c>
      <c r="HB194">
        <v>0</v>
      </c>
      <c r="HC194">
        <f t="shared" si="227"/>
        <v>0</v>
      </c>
      <c r="HE194" t="s">
        <v>3</v>
      </c>
      <c r="HF194" t="s">
        <v>3</v>
      </c>
      <c r="HM194" t="s">
        <v>3</v>
      </c>
      <c r="HN194" t="s">
        <v>3</v>
      </c>
      <c r="HO194" t="s">
        <v>3</v>
      </c>
      <c r="HP194" t="s">
        <v>3</v>
      </c>
      <c r="HQ194" t="s">
        <v>3</v>
      </c>
      <c r="IK194">
        <v>0</v>
      </c>
    </row>
    <row r="195" spans="1:245" x14ac:dyDescent="0.2">
      <c r="A195">
        <v>17</v>
      </c>
      <c r="B195">
        <v>1</v>
      </c>
      <c r="D195">
        <f>ROW(EtalonRes!A124)</f>
        <v>124</v>
      </c>
      <c r="E195" t="s">
        <v>3</v>
      </c>
      <c r="F195" t="s">
        <v>272</v>
      </c>
      <c r="G195" t="s">
        <v>273</v>
      </c>
      <c r="H195" t="s">
        <v>18</v>
      </c>
      <c r="I195">
        <f>ROUND((4+6)*7*0.1/100,9)</f>
        <v>7.0000000000000007E-2</v>
      </c>
      <c r="J195">
        <v>0</v>
      </c>
      <c r="K195">
        <f>ROUND((4+6)*7*0.1/100,9)</f>
        <v>7.0000000000000007E-2</v>
      </c>
      <c r="O195">
        <f t="shared" si="192"/>
        <v>14.24</v>
      </c>
      <c r="P195">
        <f t="shared" si="193"/>
        <v>0</v>
      </c>
      <c r="Q195">
        <f t="shared" si="194"/>
        <v>0</v>
      </c>
      <c r="R195">
        <f t="shared" si="195"/>
        <v>0</v>
      </c>
      <c r="S195">
        <f t="shared" si="196"/>
        <v>14.24</v>
      </c>
      <c r="T195">
        <f t="shared" si="197"/>
        <v>0</v>
      </c>
      <c r="U195">
        <f t="shared" si="198"/>
        <v>2.6600000000000002E-2</v>
      </c>
      <c r="V195">
        <f t="shared" si="199"/>
        <v>0</v>
      </c>
      <c r="W195">
        <f t="shared" si="200"/>
        <v>0</v>
      </c>
      <c r="X195">
        <f t="shared" si="201"/>
        <v>9.9700000000000006</v>
      </c>
      <c r="Y195">
        <f t="shared" si="201"/>
        <v>1.42</v>
      </c>
      <c r="AA195">
        <v>-1</v>
      </c>
      <c r="AB195">
        <f t="shared" si="202"/>
        <v>203.42</v>
      </c>
      <c r="AC195">
        <f t="shared" si="203"/>
        <v>0</v>
      </c>
      <c r="AD195">
        <f t="shared" si="204"/>
        <v>0</v>
      </c>
      <c r="AE195">
        <f t="shared" si="205"/>
        <v>0</v>
      </c>
      <c r="AF195">
        <f t="shared" si="205"/>
        <v>203.42</v>
      </c>
      <c r="AG195">
        <f t="shared" si="206"/>
        <v>0</v>
      </c>
      <c r="AH195">
        <f t="shared" si="207"/>
        <v>0.38</v>
      </c>
      <c r="AI195">
        <f t="shared" si="207"/>
        <v>0</v>
      </c>
      <c r="AJ195">
        <f t="shared" si="208"/>
        <v>0</v>
      </c>
      <c r="AK195">
        <v>203.42</v>
      </c>
      <c r="AL195">
        <v>0</v>
      </c>
      <c r="AM195">
        <v>0</v>
      </c>
      <c r="AN195">
        <v>0</v>
      </c>
      <c r="AO195">
        <v>203.42</v>
      </c>
      <c r="AP195">
        <v>0</v>
      </c>
      <c r="AQ195">
        <v>0.38</v>
      </c>
      <c r="AR195">
        <v>0</v>
      </c>
      <c r="AS195">
        <v>0</v>
      </c>
      <c r="AT195">
        <v>70</v>
      </c>
      <c r="AU195">
        <v>10</v>
      </c>
      <c r="AV195">
        <v>1</v>
      </c>
      <c r="AW195">
        <v>1</v>
      </c>
      <c r="AZ195">
        <v>1</v>
      </c>
      <c r="BA195">
        <v>1</v>
      </c>
      <c r="BB195">
        <v>1</v>
      </c>
      <c r="BC195">
        <v>1</v>
      </c>
      <c r="BD195" t="s">
        <v>3</v>
      </c>
      <c r="BE195" t="s">
        <v>3</v>
      </c>
      <c r="BF195" t="s">
        <v>3</v>
      </c>
      <c r="BG195" t="s">
        <v>3</v>
      </c>
      <c r="BH195">
        <v>0</v>
      </c>
      <c r="BI195">
        <v>4</v>
      </c>
      <c r="BJ195" t="s">
        <v>274</v>
      </c>
      <c r="BM195">
        <v>0</v>
      </c>
      <c r="BN195">
        <v>0</v>
      </c>
      <c r="BO195" t="s">
        <v>3</v>
      </c>
      <c r="BP195">
        <v>0</v>
      </c>
      <c r="BQ195">
        <v>1</v>
      </c>
      <c r="BR195">
        <v>0</v>
      </c>
      <c r="BS195">
        <v>1</v>
      </c>
      <c r="BT195">
        <v>1</v>
      </c>
      <c r="BU195">
        <v>1</v>
      </c>
      <c r="BV195">
        <v>1</v>
      </c>
      <c r="BW195">
        <v>1</v>
      </c>
      <c r="BX195">
        <v>1</v>
      </c>
      <c r="BY195" t="s">
        <v>3</v>
      </c>
      <c r="BZ195">
        <v>70</v>
      </c>
      <c r="CA195">
        <v>10</v>
      </c>
      <c r="CB195" t="s">
        <v>3</v>
      </c>
      <c r="CE195">
        <v>0</v>
      </c>
      <c r="CF195">
        <v>0</v>
      </c>
      <c r="CG195">
        <v>0</v>
      </c>
      <c r="CM195">
        <v>0</v>
      </c>
      <c r="CN195" t="s">
        <v>3</v>
      </c>
      <c r="CO195">
        <v>0</v>
      </c>
      <c r="CP195">
        <f t="shared" si="209"/>
        <v>14.24</v>
      </c>
      <c r="CQ195">
        <f t="shared" si="210"/>
        <v>0</v>
      </c>
      <c r="CR195">
        <f t="shared" si="211"/>
        <v>0</v>
      </c>
      <c r="CS195">
        <f t="shared" si="212"/>
        <v>0</v>
      </c>
      <c r="CT195">
        <f t="shared" si="213"/>
        <v>203.42</v>
      </c>
      <c r="CU195">
        <f t="shared" si="214"/>
        <v>0</v>
      </c>
      <c r="CV195">
        <f t="shared" si="215"/>
        <v>0.38</v>
      </c>
      <c r="CW195">
        <f t="shared" si="216"/>
        <v>0</v>
      </c>
      <c r="CX195">
        <f t="shared" si="216"/>
        <v>0</v>
      </c>
      <c r="CY195">
        <f t="shared" si="217"/>
        <v>9.968</v>
      </c>
      <c r="CZ195">
        <f t="shared" si="218"/>
        <v>1.4240000000000002</v>
      </c>
      <c r="DC195" t="s">
        <v>3</v>
      </c>
      <c r="DD195" t="s">
        <v>3</v>
      </c>
      <c r="DE195" t="s">
        <v>3</v>
      </c>
      <c r="DF195" t="s">
        <v>3</v>
      </c>
      <c r="DG195" t="s">
        <v>3</v>
      </c>
      <c r="DH195" t="s">
        <v>3</v>
      </c>
      <c r="DI195" t="s">
        <v>3</v>
      </c>
      <c r="DJ195" t="s">
        <v>3</v>
      </c>
      <c r="DK195" t="s">
        <v>3</v>
      </c>
      <c r="DL195" t="s">
        <v>3</v>
      </c>
      <c r="DM195" t="s">
        <v>3</v>
      </c>
      <c r="DN195">
        <v>0</v>
      </c>
      <c r="DO195">
        <v>0</v>
      </c>
      <c r="DP195">
        <v>1</v>
      </c>
      <c r="DQ195">
        <v>1</v>
      </c>
      <c r="DU195">
        <v>1003</v>
      </c>
      <c r="DV195" t="s">
        <v>18</v>
      </c>
      <c r="DW195" t="s">
        <v>18</v>
      </c>
      <c r="DX195">
        <v>100</v>
      </c>
      <c r="DZ195" t="s">
        <v>3</v>
      </c>
      <c r="EA195" t="s">
        <v>3</v>
      </c>
      <c r="EB195" t="s">
        <v>3</v>
      </c>
      <c r="EC195" t="s">
        <v>3</v>
      </c>
      <c r="EE195">
        <v>1441815344</v>
      </c>
      <c r="EF195">
        <v>1</v>
      </c>
      <c r="EG195" t="s">
        <v>21</v>
      </c>
      <c r="EH195">
        <v>0</v>
      </c>
      <c r="EI195" t="s">
        <v>3</v>
      </c>
      <c r="EJ195">
        <v>4</v>
      </c>
      <c r="EK195">
        <v>0</v>
      </c>
      <c r="EL195" t="s">
        <v>22</v>
      </c>
      <c r="EM195" t="s">
        <v>23</v>
      </c>
      <c r="EO195" t="s">
        <v>3</v>
      </c>
      <c r="EQ195">
        <v>1024</v>
      </c>
      <c r="ER195">
        <v>203.42</v>
      </c>
      <c r="ES195">
        <v>0</v>
      </c>
      <c r="ET195">
        <v>0</v>
      </c>
      <c r="EU195">
        <v>0</v>
      </c>
      <c r="EV195">
        <v>203.42</v>
      </c>
      <c r="EW195">
        <v>0.38</v>
      </c>
      <c r="EX195">
        <v>0</v>
      </c>
      <c r="EY195">
        <v>0</v>
      </c>
      <c r="FQ195">
        <v>0</v>
      </c>
      <c r="FR195">
        <f t="shared" si="219"/>
        <v>0</v>
      </c>
      <c r="FS195">
        <v>0</v>
      </c>
      <c r="FX195">
        <v>70</v>
      </c>
      <c r="FY195">
        <v>10</v>
      </c>
      <c r="GA195" t="s">
        <v>3</v>
      </c>
      <c r="GD195">
        <v>0</v>
      </c>
      <c r="GF195">
        <v>-1699704026</v>
      </c>
      <c r="GG195">
        <v>2</v>
      </c>
      <c r="GH195">
        <v>1</v>
      </c>
      <c r="GI195">
        <v>-2</v>
      </c>
      <c r="GJ195">
        <v>0</v>
      </c>
      <c r="GK195">
        <f>ROUND(R195*(R12)/100,2)</f>
        <v>0</v>
      </c>
      <c r="GL195">
        <f t="shared" si="220"/>
        <v>0</v>
      </c>
      <c r="GM195">
        <f t="shared" si="221"/>
        <v>25.63</v>
      </c>
      <c r="GN195">
        <f t="shared" si="222"/>
        <v>0</v>
      </c>
      <c r="GO195">
        <f t="shared" si="223"/>
        <v>0</v>
      </c>
      <c r="GP195">
        <f t="shared" si="224"/>
        <v>25.63</v>
      </c>
      <c r="GR195">
        <v>0</v>
      </c>
      <c r="GS195">
        <v>3</v>
      </c>
      <c r="GT195">
        <v>0</v>
      </c>
      <c r="GU195" t="s">
        <v>3</v>
      </c>
      <c r="GV195">
        <f t="shared" si="225"/>
        <v>0</v>
      </c>
      <c r="GW195">
        <v>1</v>
      </c>
      <c r="GX195">
        <f t="shared" si="226"/>
        <v>0</v>
      </c>
      <c r="HA195">
        <v>0</v>
      </c>
      <c r="HB195">
        <v>0</v>
      </c>
      <c r="HC195">
        <f t="shared" si="227"/>
        <v>0</v>
      </c>
      <c r="HE195" t="s">
        <v>3</v>
      </c>
      <c r="HF195" t="s">
        <v>3</v>
      </c>
      <c r="HM195" t="s">
        <v>3</v>
      </c>
      <c r="HN195" t="s">
        <v>3</v>
      </c>
      <c r="HO195" t="s">
        <v>3</v>
      </c>
      <c r="HP195" t="s">
        <v>3</v>
      </c>
      <c r="HQ195" t="s">
        <v>3</v>
      </c>
      <c r="IK195">
        <v>0</v>
      </c>
    </row>
    <row r="196" spans="1:245" x14ac:dyDescent="0.2">
      <c r="A196">
        <v>19</v>
      </c>
      <c r="B196">
        <v>1</v>
      </c>
      <c r="F196" t="s">
        <v>3</v>
      </c>
      <c r="G196" t="s">
        <v>275</v>
      </c>
      <c r="H196" t="s">
        <v>3</v>
      </c>
      <c r="AA196">
        <v>1</v>
      </c>
      <c r="IK196">
        <v>0</v>
      </c>
    </row>
    <row r="197" spans="1:245" x14ac:dyDescent="0.2">
      <c r="A197">
        <v>17</v>
      </c>
      <c r="B197">
        <v>1</v>
      </c>
      <c r="D197">
        <f>ROW(EtalonRes!A126)</f>
        <v>126</v>
      </c>
      <c r="E197" t="s">
        <v>276</v>
      </c>
      <c r="F197" t="s">
        <v>277</v>
      </c>
      <c r="G197" t="s">
        <v>278</v>
      </c>
      <c r="H197" t="s">
        <v>36</v>
      </c>
      <c r="I197">
        <f>ROUND(2*7,9)</f>
        <v>14</v>
      </c>
      <c r="J197">
        <v>0</v>
      </c>
      <c r="K197">
        <f>ROUND(2*7,9)</f>
        <v>14</v>
      </c>
      <c r="O197">
        <f>ROUND(CP197,2)</f>
        <v>2528.2600000000002</v>
      </c>
      <c r="P197">
        <f>ROUND(CQ197*I197,2)</f>
        <v>115.64</v>
      </c>
      <c r="Q197">
        <f>ROUND(CR197*I197,2)</f>
        <v>0</v>
      </c>
      <c r="R197">
        <f>ROUND(CS197*I197,2)</f>
        <v>0</v>
      </c>
      <c r="S197">
        <f>ROUND(CT197*I197,2)</f>
        <v>2412.62</v>
      </c>
      <c r="T197">
        <f>ROUND(CU197*I197,2)</f>
        <v>0</v>
      </c>
      <c r="U197">
        <f>CV197*I197</f>
        <v>4.7600000000000007</v>
      </c>
      <c r="V197">
        <f>CW197*I197</f>
        <v>0</v>
      </c>
      <c r="W197">
        <f>ROUND(CX197*I197,2)</f>
        <v>0</v>
      </c>
      <c r="X197">
        <f t="shared" ref="X197:Y199" si="228">ROUND(CY197,2)</f>
        <v>1688.83</v>
      </c>
      <c r="Y197">
        <f t="shared" si="228"/>
        <v>241.26</v>
      </c>
      <c r="AA197">
        <v>1471718271</v>
      </c>
      <c r="AB197">
        <f>ROUND((AC197+AD197+AF197),6)</f>
        <v>180.59</v>
      </c>
      <c r="AC197">
        <f>ROUND((ES197),6)</f>
        <v>8.26</v>
      </c>
      <c r="AD197">
        <f>ROUND((((ET197)-(EU197))+AE197),6)</f>
        <v>0</v>
      </c>
      <c r="AE197">
        <f t="shared" ref="AE197:AF199" si="229">ROUND((EU197),6)</f>
        <v>0</v>
      </c>
      <c r="AF197">
        <f t="shared" si="229"/>
        <v>172.33</v>
      </c>
      <c r="AG197">
        <f>ROUND((AP197),6)</f>
        <v>0</v>
      </c>
      <c r="AH197">
        <f t="shared" ref="AH197:AI199" si="230">(EW197)</f>
        <v>0.34</v>
      </c>
      <c r="AI197">
        <f t="shared" si="230"/>
        <v>0</v>
      </c>
      <c r="AJ197">
        <f>(AS197)</f>
        <v>0</v>
      </c>
      <c r="AK197">
        <v>180.59</v>
      </c>
      <c r="AL197">
        <v>8.26</v>
      </c>
      <c r="AM197">
        <v>0</v>
      </c>
      <c r="AN197">
        <v>0</v>
      </c>
      <c r="AO197">
        <v>172.33</v>
      </c>
      <c r="AP197">
        <v>0</v>
      </c>
      <c r="AQ197">
        <v>0.34</v>
      </c>
      <c r="AR197">
        <v>0</v>
      </c>
      <c r="AS197">
        <v>0</v>
      </c>
      <c r="AT197">
        <v>70</v>
      </c>
      <c r="AU197">
        <v>10</v>
      </c>
      <c r="AV197">
        <v>1</v>
      </c>
      <c r="AW197">
        <v>1</v>
      </c>
      <c r="AZ197">
        <v>1</v>
      </c>
      <c r="BA197">
        <v>1</v>
      </c>
      <c r="BB197">
        <v>1</v>
      </c>
      <c r="BC197">
        <v>1</v>
      </c>
      <c r="BD197" t="s">
        <v>3</v>
      </c>
      <c r="BE197" t="s">
        <v>3</v>
      </c>
      <c r="BF197" t="s">
        <v>3</v>
      </c>
      <c r="BG197" t="s">
        <v>3</v>
      </c>
      <c r="BH197">
        <v>0</v>
      </c>
      <c r="BI197">
        <v>4</v>
      </c>
      <c r="BJ197" t="s">
        <v>279</v>
      </c>
      <c r="BM197">
        <v>0</v>
      </c>
      <c r="BN197">
        <v>0</v>
      </c>
      <c r="BO197" t="s">
        <v>3</v>
      </c>
      <c r="BP197">
        <v>0</v>
      </c>
      <c r="BQ197">
        <v>1</v>
      </c>
      <c r="BR197">
        <v>0</v>
      </c>
      <c r="BS197">
        <v>1</v>
      </c>
      <c r="BT197">
        <v>1</v>
      </c>
      <c r="BU197">
        <v>1</v>
      </c>
      <c r="BV197">
        <v>1</v>
      </c>
      <c r="BW197">
        <v>1</v>
      </c>
      <c r="BX197">
        <v>1</v>
      </c>
      <c r="BY197" t="s">
        <v>3</v>
      </c>
      <c r="BZ197">
        <v>70</v>
      </c>
      <c r="CA197">
        <v>10</v>
      </c>
      <c r="CB197" t="s">
        <v>3</v>
      </c>
      <c r="CE197">
        <v>0</v>
      </c>
      <c r="CF197">
        <v>0</v>
      </c>
      <c r="CG197">
        <v>0</v>
      </c>
      <c r="CM197">
        <v>0</v>
      </c>
      <c r="CN197" t="s">
        <v>3</v>
      </c>
      <c r="CO197">
        <v>0</v>
      </c>
      <c r="CP197">
        <f>(P197+Q197+S197)</f>
        <v>2528.2599999999998</v>
      </c>
      <c r="CQ197">
        <f>(AC197*BC197*AW197)</f>
        <v>8.26</v>
      </c>
      <c r="CR197">
        <f>((((ET197)*BB197-(EU197)*BS197)+AE197*BS197)*AV197)</f>
        <v>0</v>
      </c>
      <c r="CS197">
        <f>(AE197*BS197*AV197)</f>
        <v>0</v>
      </c>
      <c r="CT197">
        <f>(AF197*BA197*AV197)</f>
        <v>172.33</v>
      </c>
      <c r="CU197">
        <f>AG197</f>
        <v>0</v>
      </c>
      <c r="CV197">
        <f>(AH197*AV197)</f>
        <v>0.34</v>
      </c>
      <c r="CW197">
        <f t="shared" ref="CW197:CX199" si="231">AI197</f>
        <v>0</v>
      </c>
      <c r="CX197">
        <f t="shared" si="231"/>
        <v>0</v>
      </c>
      <c r="CY197">
        <f>((S197*BZ197)/100)</f>
        <v>1688.8339999999998</v>
      </c>
      <c r="CZ197">
        <f>((S197*CA197)/100)</f>
        <v>241.26199999999997</v>
      </c>
      <c r="DC197" t="s">
        <v>3</v>
      </c>
      <c r="DD197" t="s">
        <v>3</v>
      </c>
      <c r="DE197" t="s">
        <v>3</v>
      </c>
      <c r="DF197" t="s">
        <v>3</v>
      </c>
      <c r="DG197" t="s">
        <v>3</v>
      </c>
      <c r="DH197" t="s">
        <v>3</v>
      </c>
      <c r="DI197" t="s">
        <v>3</v>
      </c>
      <c r="DJ197" t="s">
        <v>3</v>
      </c>
      <c r="DK197" t="s">
        <v>3</v>
      </c>
      <c r="DL197" t="s">
        <v>3</v>
      </c>
      <c r="DM197" t="s">
        <v>3</v>
      </c>
      <c r="DN197">
        <v>0</v>
      </c>
      <c r="DO197">
        <v>0</v>
      </c>
      <c r="DP197">
        <v>1</v>
      </c>
      <c r="DQ197">
        <v>1</v>
      </c>
      <c r="DU197">
        <v>16987630</v>
      </c>
      <c r="DV197" t="s">
        <v>36</v>
      </c>
      <c r="DW197" t="s">
        <v>36</v>
      </c>
      <c r="DX197">
        <v>1</v>
      </c>
      <c r="DZ197" t="s">
        <v>3</v>
      </c>
      <c r="EA197" t="s">
        <v>3</v>
      </c>
      <c r="EB197" t="s">
        <v>3</v>
      </c>
      <c r="EC197" t="s">
        <v>3</v>
      </c>
      <c r="EE197">
        <v>1441815344</v>
      </c>
      <c r="EF197">
        <v>1</v>
      </c>
      <c r="EG197" t="s">
        <v>21</v>
      </c>
      <c r="EH197">
        <v>0</v>
      </c>
      <c r="EI197" t="s">
        <v>3</v>
      </c>
      <c r="EJ197">
        <v>4</v>
      </c>
      <c r="EK197">
        <v>0</v>
      </c>
      <c r="EL197" t="s">
        <v>22</v>
      </c>
      <c r="EM197" t="s">
        <v>23</v>
      </c>
      <c r="EO197" t="s">
        <v>3</v>
      </c>
      <c r="EQ197">
        <v>0</v>
      </c>
      <c r="ER197">
        <v>180.59</v>
      </c>
      <c r="ES197">
        <v>8.26</v>
      </c>
      <c r="ET197">
        <v>0</v>
      </c>
      <c r="EU197">
        <v>0</v>
      </c>
      <c r="EV197">
        <v>172.33</v>
      </c>
      <c r="EW197">
        <v>0.34</v>
      </c>
      <c r="EX197">
        <v>0</v>
      </c>
      <c r="EY197">
        <v>0</v>
      </c>
      <c r="FQ197">
        <v>0</v>
      </c>
      <c r="FR197">
        <f>ROUND(IF(BI197=3,GM197,0),2)</f>
        <v>0</v>
      </c>
      <c r="FS197">
        <v>0</v>
      </c>
      <c r="FX197">
        <v>70</v>
      </c>
      <c r="FY197">
        <v>10</v>
      </c>
      <c r="GA197" t="s">
        <v>3</v>
      </c>
      <c r="GD197">
        <v>0</v>
      </c>
      <c r="GF197">
        <v>771280347</v>
      </c>
      <c r="GG197">
        <v>2</v>
      </c>
      <c r="GH197">
        <v>1</v>
      </c>
      <c r="GI197">
        <v>-2</v>
      </c>
      <c r="GJ197">
        <v>0</v>
      </c>
      <c r="GK197">
        <f>ROUND(R197*(R12)/100,2)</f>
        <v>0</v>
      </c>
      <c r="GL197">
        <f>ROUND(IF(AND(BH197=3,BI197=3,FS197&lt;&gt;0),P197,0),2)</f>
        <v>0</v>
      </c>
      <c r="GM197">
        <f>ROUND(O197+X197+Y197+GK197,2)+GX197</f>
        <v>4458.3500000000004</v>
      </c>
      <c r="GN197">
        <f>IF(OR(BI197=0,BI197=1),GM197-GX197,0)</f>
        <v>0</v>
      </c>
      <c r="GO197">
        <f>IF(BI197=2,GM197-GX197,0)</f>
        <v>0</v>
      </c>
      <c r="GP197">
        <f>IF(BI197=4,GM197-GX197,0)</f>
        <v>4458.3500000000004</v>
      </c>
      <c r="GR197">
        <v>0</v>
      </c>
      <c r="GS197">
        <v>3</v>
      </c>
      <c r="GT197">
        <v>0</v>
      </c>
      <c r="GU197" t="s">
        <v>3</v>
      </c>
      <c r="GV197">
        <f>ROUND((GT197),6)</f>
        <v>0</v>
      </c>
      <c r="GW197">
        <v>1</v>
      </c>
      <c r="GX197">
        <f>ROUND(HC197*I197,2)</f>
        <v>0</v>
      </c>
      <c r="HA197">
        <v>0</v>
      </c>
      <c r="HB197">
        <v>0</v>
      </c>
      <c r="HC197">
        <f>GV197*GW197</f>
        <v>0</v>
      </c>
      <c r="HE197" t="s">
        <v>3</v>
      </c>
      <c r="HF197" t="s">
        <v>3</v>
      </c>
      <c r="HM197" t="s">
        <v>3</v>
      </c>
      <c r="HN197" t="s">
        <v>3</v>
      </c>
      <c r="HO197" t="s">
        <v>3</v>
      </c>
      <c r="HP197" t="s">
        <v>3</v>
      </c>
      <c r="HQ197" t="s">
        <v>3</v>
      </c>
      <c r="IK197">
        <v>0</v>
      </c>
    </row>
    <row r="198" spans="1:245" x14ac:dyDescent="0.2">
      <c r="A198">
        <v>17</v>
      </c>
      <c r="B198">
        <v>1</v>
      </c>
      <c r="D198">
        <f>ROW(EtalonRes!A128)</f>
        <v>128</v>
      </c>
      <c r="E198" t="s">
        <v>280</v>
      </c>
      <c r="F198" t="s">
        <v>260</v>
      </c>
      <c r="G198" t="s">
        <v>281</v>
      </c>
      <c r="H198" t="s">
        <v>18</v>
      </c>
      <c r="I198">
        <f>ROUND(10*7*0.2*0.1/100,9)</f>
        <v>1.4E-2</v>
      </c>
      <c r="J198">
        <v>0</v>
      </c>
      <c r="K198">
        <f>ROUND(10*7*0.2*0.1/100,9)</f>
        <v>1.4E-2</v>
      </c>
      <c r="O198">
        <f>ROUND(CP198,2)</f>
        <v>75.260000000000005</v>
      </c>
      <c r="P198">
        <f>ROUND(CQ198*I198,2)</f>
        <v>0.32</v>
      </c>
      <c r="Q198">
        <f>ROUND(CR198*I198,2)</f>
        <v>0</v>
      </c>
      <c r="R198">
        <f>ROUND(CS198*I198,2)</f>
        <v>0</v>
      </c>
      <c r="S198">
        <f>ROUND(CT198*I198,2)</f>
        <v>74.94</v>
      </c>
      <c r="T198">
        <f>ROUND(CU198*I198,2)</f>
        <v>0</v>
      </c>
      <c r="U198">
        <f>CV198*I198</f>
        <v>0.14000000000000001</v>
      </c>
      <c r="V198">
        <f>CW198*I198</f>
        <v>0</v>
      </c>
      <c r="W198">
        <f>ROUND(CX198*I198,2)</f>
        <v>0</v>
      </c>
      <c r="X198">
        <f t="shared" si="228"/>
        <v>52.46</v>
      </c>
      <c r="Y198">
        <f t="shared" si="228"/>
        <v>7.49</v>
      </c>
      <c r="AA198">
        <v>1471718271</v>
      </c>
      <c r="AB198">
        <f>ROUND((AC198+AD198+AF198),6)</f>
        <v>5375.66</v>
      </c>
      <c r="AC198">
        <f>ROUND((ES198),6)</f>
        <v>22.51</v>
      </c>
      <c r="AD198">
        <f>ROUND((((ET198)-(EU198))+AE198),6)</f>
        <v>0</v>
      </c>
      <c r="AE198">
        <f t="shared" si="229"/>
        <v>0</v>
      </c>
      <c r="AF198">
        <f t="shared" si="229"/>
        <v>5353.15</v>
      </c>
      <c r="AG198">
        <f>ROUND((AP198),6)</f>
        <v>0</v>
      </c>
      <c r="AH198">
        <f t="shared" si="230"/>
        <v>10</v>
      </c>
      <c r="AI198">
        <f t="shared" si="230"/>
        <v>0</v>
      </c>
      <c r="AJ198">
        <f>(AS198)</f>
        <v>0</v>
      </c>
      <c r="AK198">
        <v>5375.66</v>
      </c>
      <c r="AL198">
        <v>22.51</v>
      </c>
      <c r="AM198">
        <v>0</v>
      </c>
      <c r="AN198">
        <v>0</v>
      </c>
      <c r="AO198">
        <v>5353.15</v>
      </c>
      <c r="AP198">
        <v>0</v>
      </c>
      <c r="AQ198">
        <v>10</v>
      </c>
      <c r="AR198">
        <v>0</v>
      </c>
      <c r="AS198">
        <v>0</v>
      </c>
      <c r="AT198">
        <v>70</v>
      </c>
      <c r="AU198">
        <v>10</v>
      </c>
      <c r="AV198">
        <v>1</v>
      </c>
      <c r="AW198">
        <v>1</v>
      </c>
      <c r="AZ198">
        <v>1</v>
      </c>
      <c r="BA198">
        <v>1</v>
      </c>
      <c r="BB198">
        <v>1</v>
      </c>
      <c r="BC198">
        <v>1</v>
      </c>
      <c r="BD198" t="s">
        <v>3</v>
      </c>
      <c r="BE198" t="s">
        <v>3</v>
      </c>
      <c r="BF198" t="s">
        <v>3</v>
      </c>
      <c r="BG198" t="s">
        <v>3</v>
      </c>
      <c r="BH198">
        <v>0</v>
      </c>
      <c r="BI198">
        <v>4</v>
      </c>
      <c r="BJ198" t="s">
        <v>262</v>
      </c>
      <c r="BM198">
        <v>0</v>
      </c>
      <c r="BN198">
        <v>0</v>
      </c>
      <c r="BO198" t="s">
        <v>3</v>
      </c>
      <c r="BP198">
        <v>0</v>
      </c>
      <c r="BQ198">
        <v>1</v>
      </c>
      <c r="BR198">
        <v>0</v>
      </c>
      <c r="BS198">
        <v>1</v>
      </c>
      <c r="BT198">
        <v>1</v>
      </c>
      <c r="BU198">
        <v>1</v>
      </c>
      <c r="BV198">
        <v>1</v>
      </c>
      <c r="BW198">
        <v>1</v>
      </c>
      <c r="BX198">
        <v>1</v>
      </c>
      <c r="BY198" t="s">
        <v>3</v>
      </c>
      <c r="BZ198">
        <v>70</v>
      </c>
      <c r="CA198">
        <v>10</v>
      </c>
      <c r="CB198" t="s">
        <v>3</v>
      </c>
      <c r="CE198">
        <v>0</v>
      </c>
      <c r="CF198">
        <v>0</v>
      </c>
      <c r="CG198">
        <v>0</v>
      </c>
      <c r="CM198">
        <v>0</v>
      </c>
      <c r="CN198" t="s">
        <v>3</v>
      </c>
      <c r="CO198">
        <v>0</v>
      </c>
      <c r="CP198">
        <f>(P198+Q198+S198)</f>
        <v>75.259999999999991</v>
      </c>
      <c r="CQ198">
        <f>(AC198*BC198*AW198)</f>
        <v>22.51</v>
      </c>
      <c r="CR198">
        <f>((((ET198)*BB198-(EU198)*BS198)+AE198*BS198)*AV198)</f>
        <v>0</v>
      </c>
      <c r="CS198">
        <f>(AE198*BS198*AV198)</f>
        <v>0</v>
      </c>
      <c r="CT198">
        <f>(AF198*BA198*AV198)</f>
        <v>5353.15</v>
      </c>
      <c r="CU198">
        <f>AG198</f>
        <v>0</v>
      </c>
      <c r="CV198">
        <f>(AH198*AV198)</f>
        <v>10</v>
      </c>
      <c r="CW198">
        <f t="shared" si="231"/>
        <v>0</v>
      </c>
      <c r="CX198">
        <f t="shared" si="231"/>
        <v>0</v>
      </c>
      <c r="CY198">
        <f>((S198*BZ198)/100)</f>
        <v>52.457999999999998</v>
      </c>
      <c r="CZ198">
        <f>((S198*CA198)/100)</f>
        <v>7.4939999999999998</v>
      </c>
      <c r="DC198" t="s">
        <v>3</v>
      </c>
      <c r="DD198" t="s">
        <v>3</v>
      </c>
      <c r="DE198" t="s">
        <v>3</v>
      </c>
      <c r="DF198" t="s">
        <v>3</v>
      </c>
      <c r="DG198" t="s">
        <v>3</v>
      </c>
      <c r="DH198" t="s">
        <v>3</v>
      </c>
      <c r="DI198" t="s">
        <v>3</v>
      </c>
      <c r="DJ198" t="s">
        <v>3</v>
      </c>
      <c r="DK198" t="s">
        <v>3</v>
      </c>
      <c r="DL198" t="s">
        <v>3</v>
      </c>
      <c r="DM198" t="s">
        <v>3</v>
      </c>
      <c r="DN198">
        <v>0</v>
      </c>
      <c r="DO198">
        <v>0</v>
      </c>
      <c r="DP198">
        <v>1</v>
      </c>
      <c r="DQ198">
        <v>1</v>
      </c>
      <c r="DU198">
        <v>1003</v>
      </c>
      <c r="DV198" t="s">
        <v>18</v>
      </c>
      <c r="DW198" t="s">
        <v>18</v>
      </c>
      <c r="DX198">
        <v>100</v>
      </c>
      <c r="DZ198" t="s">
        <v>3</v>
      </c>
      <c r="EA198" t="s">
        <v>3</v>
      </c>
      <c r="EB198" t="s">
        <v>3</v>
      </c>
      <c r="EC198" t="s">
        <v>3</v>
      </c>
      <c r="EE198">
        <v>1441815344</v>
      </c>
      <c r="EF198">
        <v>1</v>
      </c>
      <c r="EG198" t="s">
        <v>21</v>
      </c>
      <c r="EH198">
        <v>0</v>
      </c>
      <c r="EI198" t="s">
        <v>3</v>
      </c>
      <c r="EJ198">
        <v>4</v>
      </c>
      <c r="EK198">
        <v>0</v>
      </c>
      <c r="EL198" t="s">
        <v>22</v>
      </c>
      <c r="EM198" t="s">
        <v>23</v>
      </c>
      <c r="EO198" t="s">
        <v>3</v>
      </c>
      <c r="EQ198">
        <v>0</v>
      </c>
      <c r="ER198">
        <v>5375.66</v>
      </c>
      <c r="ES198">
        <v>22.51</v>
      </c>
      <c r="ET198">
        <v>0</v>
      </c>
      <c r="EU198">
        <v>0</v>
      </c>
      <c r="EV198">
        <v>5353.15</v>
      </c>
      <c r="EW198">
        <v>10</v>
      </c>
      <c r="EX198">
        <v>0</v>
      </c>
      <c r="EY198">
        <v>0</v>
      </c>
      <c r="FQ198">
        <v>0</v>
      </c>
      <c r="FR198">
        <f>ROUND(IF(BI198=3,GM198,0),2)</f>
        <v>0</v>
      </c>
      <c r="FS198">
        <v>0</v>
      </c>
      <c r="FX198">
        <v>70</v>
      </c>
      <c r="FY198">
        <v>10</v>
      </c>
      <c r="GA198" t="s">
        <v>3</v>
      </c>
      <c r="GD198">
        <v>0</v>
      </c>
      <c r="GF198">
        <v>743796505</v>
      </c>
      <c r="GG198">
        <v>2</v>
      </c>
      <c r="GH198">
        <v>1</v>
      </c>
      <c r="GI198">
        <v>-2</v>
      </c>
      <c r="GJ198">
        <v>0</v>
      </c>
      <c r="GK198">
        <f>ROUND(R198*(R12)/100,2)</f>
        <v>0</v>
      </c>
      <c r="GL198">
        <f>ROUND(IF(AND(BH198=3,BI198=3,FS198&lt;&gt;0),P198,0),2)</f>
        <v>0</v>
      </c>
      <c r="GM198">
        <f>ROUND(O198+X198+Y198+GK198,2)+GX198</f>
        <v>135.21</v>
      </c>
      <c r="GN198">
        <f>IF(OR(BI198=0,BI198=1),GM198-GX198,0)</f>
        <v>0</v>
      </c>
      <c r="GO198">
        <f>IF(BI198=2,GM198-GX198,0)</f>
        <v>0</v>
      </c>
      <c r="GP198">
        <f>IF(BI198=4,GM198-GX198,0)</f>
        <v>135.21</v>
      </c>
      <c r="GR198">
        <v>0</v>
      </c>
      <c r="GS198">
        <v>3</v>
      </c>
      <c r="GT198">
        <v>0</v>
      </c>
      <c r="GU198" t="s">
        <v>3</v>
      </c>
      <c r="GV198">
        <f>ROUND((GT198),6)</f>
        <v>0</v>
      </c>
      <c r="GW198">
        <v>1</v>
      </c>
      <c r="GX198">
        <f>ROUND(HC198*I198,2)</f>
        <v>0</v>
      </c>
      <c r="HA198">
        <v>0</v>
      </c>
      <c r="HB198">
        <v>0</v>
      </c>
      <c r="HC198">
        <f>GV198*GW198</f>
        <v>0</v>
      </c>
      <c r="HE198" t="s">
        <v>3</v>
      </c>
      <c r="HF198" t="s">
        <v>3</v>
      </c>
      <c r="HM198" t="s">
        <v>3</v>
      </c>
      <c r="HN198" t="s">
        <v>3</v>
      </c>
      <c r="HO198" t="s">
        <v>3</v>
      </c>
      <c r="HP198" t="s">
        <v>3</v>
      </c>
      <c r="HQ198" t="s">
        <v>3</v>
      </c>
      <c r="IK198">
        <v>0</v>
      </c>
    </row>
    <row r="199" spans="1:245" x14ac:dyDescent="0.2">
      <c r="A199">
        <v>17</v>
      </c>
      <c r="B199">
        <v>1</v>
      </c>
      <c r="D199">
        <f>ROW(EtalonRes!A129)</f>
        <v>129</v>
      </c>
      <c r="E199" t="s">
        <v>3</v>
      </c>
      <c r="F199" t="s">
        <v>263</v>
      </c>
      <c r="G199" t="s">
        <v>282</v>
      </c>
      <c r="H199" t="s">
        <v>18</v>
      </c>
      <c r="I199">
        <f>ROUND(10*7*0.1/100,9)</f>
        <v>7.0000000000000007E-2</v>
      </c>
      <c r="J199">
        <v>0</v>
      </c>
      <c r="K199">
        <f>ROUND(10*7*0.1/100,9)</f>
        <v>7.0000000000000007E-2</v>
      </c>
      <c r="O199">
        <f>ROUND(CP199,2)</f>
        <v>12.37</v>
      </c>
      <c r="P199">
        <f>ROUND(CQ199*I199,2)</f>
        <v>0</v>
      </c>
      <c r="Q199">
        <f>ROUND(CR199*I199,2)</f>
        <v>0</v>
      </c>
      <c r="R199">
        <f>ROUND(CS199*I199,2)</f>
        <v>0</v>
      </c>
      <c r="S199">
        <f>ROUND(CT199*I199,2)</f>
        <v>12.37</v>
      </c>
      <c r="T199">
        <f>ROUND(CU199*I199,2)</f>
        <v>0</v>
      </c>
      <c r="U199">
        <f>CV199*I199</f>
        <v>2.3100000000000002E-2</v>
      </c>
      <c r="V199">
        <f>CW199*I199</f>
        <v>0</v>
      </c>
      <c r="W199">
        <f>ROUND(CX199*I199,2)</f>
        <v>0</v>
      </c>
      <c r="X199">
        <f t="shared" si="228"/>
        <v>8.66</v>
      </c>
      <c r="Y199">
        <f t="shared" si="228"/>
        <v>1.24</v>
      </c>
      <c r="AA199">
        <v>-1</v>
      </c>
      <c r="AB199">
        <f>ROUND((AC199+AD199+AF199),6)</f>
        <v>176.66</v>
      </c>
      <c r="AC199">
        <f>ROUND((ES199),6)</f>
        <v>0</v>
      </c>
      <c r="AD199">
        <f>ROUND((((ET199)-(EU199))+AE199),6)</f>
        <v>0</v>
      </c>
      <c r="AE199">
        <f t="shared" si="229"/>
        <v>0</v>
      </c>
      <c r="AF199">
        <f t="shared" si="229"/>
        <v>176.66</v>
      </c>
      <c r="AG199">
        <f>ROUND((AP199),6)</f>
        <v>0</v>
      </c>
      <c r="AH199">
        <f t="shared" si="230"/>
        <v>0.33</v>
      </c>
      <c r="AI199">
        <f t="shared" si="230"/>
        <v>0</v>
      </c>
      <c r="AJ199">
        <f>(AS199)</f>
        <v>0</v>
      </c>
      <c r="AK199">
        <v>176.66</v>
      </c>
      <c r="AL199">
        <v>0</v>
      </c>
      <c r="AM199">
        <v>0</v>
      </c>
      <c r="AN199">
        <v>0</v>
      </c>
      <c r="AO199">
        <v>176.66</v>
      </c>
      <c r="AP199">
        <v>0</v>
      </c>
      <c r="AQ199">
        <v>0.33</v>
      </c>
      <c r="AR199">
        <v>0</v>
      </c>
      <c r="AS199">
        <v>0</v>
      </c>
      <c r="AT199">
        <v>70</v>
      </c>
      <c r="AU199">
        <v>10</v>
      </c>
      <c r="AV199">
        <v>1</v>
      </c>
      <c r="AW199">
        <v>1</v>
      </c>
      <c r="AZ199">
        <v>1</v>
      </c>
      <c r="BA199">
        <v>1</v>
      </c>
      <c r="BB199">
        <v>1</v>
      </c>
      <c r="BC199">
        <v>1</v>
      </c>
      <c r="BD199" t="s">
        <v>3</v>
      </c>
      <c r="BE199" t="s">
        <v>3</v>
      </c>
      <c r="BF199" t="s">
        <v>3</v>
      </c>
      <c r="BG199" t="s">
        <v>3</v>
      </c>
      <c r="BH199">
        <v>0</v>
      </c>
      <c r="BI199">
        <v>4</v>
      </c>
      <c r="BJ199" t="s">
        <v>265</v>
      </c>
      <c r="BM199">
        <v>0</v>
      </c>
      <c r="BN199">
        <v>0</v>
      </c>
      <c r="BO199" t="s">
        <v>3</v>
      </c>
      <c r="BP199">
        <v>0</v>
      </c>
      <c r="BQ199">
        <v>1</v>
      </c>
      <c r="BR199">
        <v>0</v>
      </c>
      <c r="BS199">
        <v>1</v>
      </c>
      <c r="BT199">
        <v>1</v>
      </c>
      <c r="BU199">
        <v>1</v>
      </c>
      <c r="BV199">
        <v>1</v>
      </c>
      <c r="BW199">
        <v>1</v>
      </c>
      <c r="BX199">
        <v>1</v>
      </c>
      <c r="BY199" t="s">
        <v>3</v>
      </c>
      <c r="BZ199">
        <v>70</v>
      </c>
      <c r="CA199">
        <v>10</v>
      </c>
      <c r="CB199" t="s">
        <v>3</v>
      </c>
      <c r="CE199">
        <v>0</v>
      </c>
      <c r="CF199">
        <v>0</v>
      </c>
      <c r="CG199">
        <v>0</v>
      </c>
      <c r="CM199">
        <v>0</v>
      </c>
      <c r="CN199" t="s">
        <v>3</v>
      </c>
      <c r="CO199">
        <v>0</v>
      </c>
      <c r="CP199">
        <f>(P199+Q199+S199)</f>
        <v>12.37</v>
      </c>
      <c r="CQ199">
        <f>(AC199*BC199*AW199)</f>
        <v>0</v>
      </c>
      <c r="CR199">
        <f>((((ET199)*BB199-(EU199)*BS199)+AE199*BS199)*AV199)</f>
        <v>0</v>
      </c>
      <c r="CS199">
        <f>(AE199*BS199*AV199)</f>
        <v>0</v>
      </c>
      <c r="CT199">
        <f>(AF199*BA199*AV199)</f>
        <v>176.66</v>
      </c>
      <c r="CU199">
        <f>AG199</f>
        <v>0</v>
      </c>
      <c r="CV199">
        <f>(AH199*AV199)</f>
        <v>0.33</v>
      </c>
      <c r="CW199">
        <f t="shared" si="231"/>
        <v>0</v>
      </c>
      <c r="CX199">
        <f t="shared" si="231"/>
        <v>0</v>
      </c>
      <c r="CY199">
        <f>((S199*BZ199)/100)</f>
        <v>8.6589999999999989</v>
      </c>
      <c r="CZ199">
        <f>((S199*CA199)/100)</f>
        <v>1.2369999999999999</v>
      </c>
      <c r="DC199" t="s">
        <v>3</v>
      </c>
      <c r="DD199" t="s">
        <v>3</v>
      </c>
      <c r="DE199" t="s">
        <v>3</v>
      </c>
      <c r="DF199" t="s">
        <v>3</v>
      </c>
      <c r="DG199" t="s">
        <v>3</v>
      </c>
      <c r="DH199" t="s">
        <v>3</v>
      </c>
      <c r="DI199" t="s">
        <v>3</v>
      </c>
      <c r="DJ199" t="s">
        <v>3</v>
      </c>
      <c r="DK199" t="s">
        <v>3</v>
      </c>
      <c r="DL199" t="s">
        <v>3</v>
      </c>
      <c r="DM199" t="s">
        <v>3</v>
      </c>
      <c r="DN199">
        <v>0</v>
      </c>
      <c r="DO199">
        <v>0</v>
      </c>
      <c r="DP199">
        <v>1</v>
      </c>
      <c r="DQ199">
        <v>1</v>
      </c>
      <c r="DU199">
        <v>1003</v>
      </c>
      <c r="DV199" t="s">
        <v>18</v>
      </c>
      <c r="DW199" t="s">
        <v>18</v>
      </c>
      <c r="DX199">
        <v>100</v>
      </c>
      <c r="DZ199" t="s">
        <v>3</v>
      </c>
      <c r="EA199" t="s">
        <v>3</v>
      </c>
      <c r="EB199" t="s">
        <v>3</v>
      </c>
      <c r="EC199" t="s">
        <v>3</v>
      </c>
      <c r="EE199">
        <v>1441815344</v>
      </c>
      <c r="EF199">
        <v>1</v>
      </c>
      <c r="EG199" t="s">
        <v>21</v>
      </c>
      <c r="EH199">
        <v>0</v>
      </c>
      <c r="EI199" t="s">
        <v>3</v>
      </c>
      <c r="EJ199">
        <v>4</v>
      </c>
      <c r="EK199">
        <v>0</v>
      </c>
      <c r="EL199" t="s">
        <v>22</v>
      </c>
      <c r="EM199" t="s">
        <v>23</v>
      </c>
      <c r="EO199" t="s">
        <v>3</v>
      </c>
      <c r="EQ199">
        <v>1024</v>
      </c>
      <c r="ER199">
        <v>176.66</v>
      </c>
      <c r="ES199">
        <v>0</v>
      </c>
      <c r="ET199">
        <v>0</v>
      </c>
      <c r="EU199">
        <v>0</v>
      </c>
      <c r="EV199">
        <v>176.66</v>
      </c>
      <c r="EW199">
        <v>0.33</v>
      </c>
      <c r="EX199">
        <v>0</v>
      </c>
      <c r="EY199">
        <v>0</v>
      </c>
      <c r="FQ199">
        <v>0</v>
      </c>
      <c r="FR199">
        <f>ROUND(IF(BI199=3,GM199,0),2)</f>
        <v>0</v>
      </c>
      <c r="FS199">
        <v>0</v>
      </c>
      <c r="FX199">
        <v>70</v>
      </c>
      <c r="FY199">
        <v>10</v>
      </c>
      <c r="GA199" t="s">
        <v>3</v>
      </c>
      <c r="GD199">
        <v>0</v>
      </c>
      <c r="GF199">
        <v>-1250954649</v>
      </c>
      <c r="GG199">
        <v>2</v>
      </c>
      <c r="GH199">
        <v>1</v>
      </c>
      <c r="GI199">
        <v>-2</v>
      </c>
      <c r="GJ199">
        <v>0</v>
      </c>
      <c r="GK199">
        <f>ROUND(R199*(R12)/100,2)</f>
        <v>0</v>
      </c>
      <c r="GL199">
        <f>ROUND(IF(AND(BH199=3,BI199=3,FS199&lt;&gt;0),P199,0),2)</f>
        <v>0</v>
      </c>
      <c r="GM199">
        <f>ROUND(O199+X199+Y199+GK199,2)+GX199</f>
        <v>22.27</v>
      </c>
      <c r="GN199">
        <f>IF(OR(BI199=0,BI199=1),GM199-GX199,0)</f>
        <v>0</v>
      </c>
      <c r="GO199">
        <f>IF(BI199=2,GM199-GX199,0)</f>
        <v>0</v>
      </c>
      <c r="GP199">
        <f>IF(BI199=4,GM199-GX199,0)</f>
        <v>22.27</v>
      </c>
      <c r="GR199">
        <v>0</v>
      </c>
      <c r="GS199">
        <v>3</v>
      </c>
      <c r="GT199">
        <v>0</v>
      </c>
      <c r="GU199" t="s">
        <v>3</v>
      </c>
      <c r="GV199">
        <f>ROUND((GT199),6)</f>
        <v>0</v>
      </c>
      <c r="GW199">
        <v>1</v>
      </c>
      <c r="GX199">
        <f>ROUND(HC199*I199,2)</f>
        <v>0</v>
      </c>
      <c r="HA199">
        <v>0</v>
      </c>
      <c r="HB199">
        <v>0</v>
      </c>
      <c r="HC199">
        <f>GV199*GW199</f>
        <v>0</v>
      </c>
      <c r="HE199" t="s">
        <v>3</v>
      </c>
      <c r="HF199" t="s">
        <v>3</v>
      </c>
      <c r="HM199" t="s">
        <v>3</v>
      </c>
      <c r="HN199" t="s">
        <v>3</v>
      </c>
      <c r="HO199" t="s">
        <v>3</v>
      </c>
      <c r="HP199" t="s">
        <v>3</v>
      </c>
      <c r="HQ199" t="s">
        <v>3</v>
      </c>
      <c r="IK199">
        <v>0</v>
      </c>
    </row>
    <row r="201" spans="1:245" x14ac:dyDescent="0.2">
      <c r="A201" s="2">
        <v>51</v>
      </c>
      <c r="B201" s="2">
        <f>B166</f>
        <v>1</v>
      </c>
      <c r="C201" s="2">
        <f>A166</f>
        <v>5</v>
      </c>
      <c r="D201" s="2">
        <f>ROW(A166)</f>
        <v>166</v>
      </c>
      <c r="E201" s="2"/>
      <c r="F201" s="2" t="str">
        <f>IF(F166&lt;&gt;"",F166,"")</f>
        <v>Новый подраздел</v>
      </c>
      <c r="G201" s="2" t="str">
        <f>IF(G166&lt;&gt;"",G166,"")</f>
        <v>Система электроснабжения</v>
      </c>
      <c r="H201" s="2">
        <v>0</v>
      </c>
      <c r="I201" s="2"/>
      <c r="J201" s="2"/>
      <c r="K201" s="2"/>
      <c r="L201" s="2"/>
      <c r="M201" s="2"/>
      <c r="N201" s="2"/>
      <c r="O201" s="2">
        <f t="shared" ref="O201:T201" si="232">ROUND(AB201,2)</f>
        <v>212280.22</v>
      </c>
      <c r="P201" s="2">
        <f t="shared" si="232"/>
        <v>2698.07</v>
      </c>
      <c r="Q201" s="2">
        <f t="shared" si="232"/>
        <v>2480.94</v>
      </c>
      <c r="R201" s="2">
        <f t="shared" si="232"/>
        <v>1573.08</v>
      </c>
      <c r="S201" s="2">
        <f t="shared" si="232"/>
        <v>207101.21</v>
      </c>
      <c r="T201" s="2">
        <f t="shared" si="232"/>
        <v>0</v>
      </c>
      <c r="U201" s="2">
        <f>AH201</f>
        <v>335.36599999999993</v>
      </c>
      <c r="V201" s="2">
        <f>AI201</f>
        <v>0</v>
      </c>
      <c r="W201" s="2">
        <f>ROUND(AJ201,2)</f>
        <v>0</v>
      </c>
      <c r="X201" s="2">
        <f>ROUND(AK201,2)</f>
        <v>144970.85</v>
      </c>
      <c r="Y201" s="2">
        <f>ROUND(AL201,2)</f>
        <v>20710.11</v>
      </c>
      <c r="Z201" s="2"/>
      <c r="AA201" s="2"/>
      <c r="AB201" s="2">
        <f>ROUND(SUMIF(AA170:AA199,"=1471718271",O170:O199),2)</f>
        <v>212280.22</v>
      </c>
      <c r="AC201" s="2">
        <f>ROUND(SUMIF(AA170:AA199,"=1471718271",P170:P199),2)</f>
        <v>2698.07</v>
      </c>
      <c r="AD201" s="2">
        <f>ROUND(SUMIF(AA170:AA199,"=1471718271",Q170:Q199),2)</f>
        <v>2480.94</v>
      </c>
      <c r="AE201" s="2">
        <f>ROUND(SUMIF(AA170:AA199,"=1471718271",R170:R199),2)</f>
        <v>1573.08</v>
      </c>
      <c r="AF201" s="2">
        <f>ROUND(SUMIF(AA170:AA199,"=1471718271",S170:S199),2)</f>
        <v>207101.21</v>
      </c>
      <c r="AG201" s="2">
        <f>ROUND(SUMIF(AA170:AA199,"=1471718271",T170:T199),2)</f>
        <v>0</v>
      </c>
      <c r="AH201" s="2">
        <f>SUMIF(AA170:AA199,"=1471718271",U170:U199)</f>
        <v>335.36599999999993</v>
      </c>
      <c r="AI201" s="2">
        <f>SUMIF(AA170:AA199,"=1471718271",V170:V199)</f>
        <v>0</v>
      </c>
      <c r="AJ201" s="2">
        <f>ROUND(SUMIF(AA170:AA199,"=1471718271",W170:W199),2)</f>
        <v>0</v>
      </c>
      <c r="AK201" s="2">
        <f>ROUND(SUMIF(AA170:AA199,"=1471718271",X170:X199),2)</f>
        <v>144970.85</v>
      </c>
      <c r="AL201" s="2">
        <f>ROUND(SUMIF(AA170:AA199,"=1471718271",Y170:Y199),2)</f>
        <v>20710.11</v>
      </c>
      <c r="AM201" s="2"/>
      <c r="AN201" s="2"/>
      <c r="AO201" s="2">
        <f t="shared" ref="AO201:BD201" si="233">ROUND(BX201,2)</f>
        <v>0</v>
      </c>
      <c r="AP201" s="2">
        <f t="shared" si="233"/>
        <v>0</v>
      </c>
      <c r="AQ201" s="2">
        <f t="shared" si="233"/>
        <v>0</v>
      </c>
      <c r="AR201" s="2">
        <f t="shared" si="233"/>
        <v>379660.11</v>
      </c>
      <c r="AS201" s="2">
        <f t="shared" si="233"/>
        <v>0</v>
      </c>
      <c r="AT201" s="2">
        <f t="shared" si="233"/>
        <v>0</v>
      </c>
      <c r="AU201" s="2">
        <f t="shared" si="233"/>
        <v>379660.11</v>
      </c>
      <c r="AV201" s="2">
        <f t="shared" si="233"/>
        <v>2698.07</v>
      </c>
      <c r="AW201" s="2">
        <f t="shared" si="233"/>
        <v>2698.07</v>
      </c>
      <c r="AX201" s="2">
        <f t="shared" si="233"/>
        <v>0</v>
      </c>
      <c r="AY201" s="2">
        <f t="shared" si="233"/>
        <v>2698.07</v>
      </c>
      <c r="AZ201" s="2">
        <f t="shared" si="233"/>
        <v>0</v>
      </c>
      <c r="BA201" s="2">
        <f t="shared" si="233"/>
        <v>0</v>
      </c>
      <c r="BB201" s="2">
        <f t="shared" si="233"/>
        <v>0</v>
      </c>
      <c r="BC201" s="2">
        <f t="shared" si="233"/>
        <v>0</v>
      </c>
      <c r="BD201" s="2">
        <f t="shared" si="233"/>
        <v>0</v>
      </c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  <c r="BU201" s="2"/>
      <c r="BV201" s="2"/>
      <c r="BW201" s="2"/>
      <c r="BX201" s="2">
        <f>ROUND(SUMIF(AA170:AA199,"=1471718271",FQ170:FQ199),2)</f>
        <v>0</v>
      </c>
      <c r="BY201" s="2">
        <f>ROUND(SUMIF(AA170:AA199,"=1471718271",FR170:FR199),2)</f>
        <v>0</v>
      </c>
      <c r="BZ201" s="2">
        <f>ROUND(SUMIF(AA170:AA199,"=1471718271",GL170:GL199),2)</f>
        <v>0</v>
      </c>
      <c r="CA201" s="2">
        <f>ROUND(SUMIF(AA170:AA199,"=1471718271",GM170:GM199),2)</f>
        <v>379660.11</v>
      </c>
      <c r="CB201" s="2">
        <f>ROUND(SUMIF(AA170:AA199,"=1471718271",GN170:GN199),2)</f>
        <v>0</v>
      </c>
      <c r="CC201" s="2">
        <f>ROUND(SUMIF(AA170:AA199,"=1471718271",GO170:GO199),2)</f>
        <v>0</v>
      </c>
      <c r="CD201" s="2">
        <f>ROUND(SUMIF(AA170:AA199,"=1471718271",GP170:GP199),2)</f>
        <v>379660.11</v>
      </c>
      <c r="CE201" s="2">
        <f>AC201-BX201</f>
        <v>2698.07</v>
      </c>
      <c r="CF201" s="2">
        <f>AC201-BY201</f>
        <v>2698.07</v>
      </c>
      <c r="CG201" s="2">
        <f>BX201-BZ201</f>
        <v>0</v>
      </c>
      <c r="CH201" s="2">
        <f>AC201-BX201-BY201+BZ201</f>
        <v>2698.07</v>
      </c>
      <c r="CI201" s="2">
        <f>BY201-BZ201</f>
        <v>0</v>
      </c>
      <c r="CJ201" s="2">
        <f>ROUND(SUMIF(AA170:AA199,"=1471718271",GX170:GX199),2)</f>
        <v>0</v>
      </c>
      <c r="CK201" s="2">
        <f>ROUND(SUMIF(AA170:AA199,"=1471718271",GY170:GY199),2)</f>
        <v>0</v>
      </c>
      <c r="CL201" s="2">
        <f>ROUND(SUMIF(AA170:AA199,"=1471718271",GZ170:GZ199),2)</f>
        <v>0</v>
      </c>
      <c r="CM201" s="2">
        <f>ROUND(SUMIF(AA170:AA199,"=1471718271",HD170:HD199),2)</f>
        <v>0</v>
      </c>
      <c r="CN201" s="2"/>
      <c r="CO201" s="2"/>
      <c r="CP201" s="2"/>
      <c r="CQ201" s="2"/>
      <c r="CR201" s="2"/>
      <c r="CS201" s="2"/>
      <c r="CT201" s="2"/>
      <c r="CU201" s="2"/>
      <c r="CV201" s="2"/>
      <c r="CW201" s="2"/>
      <c r="CX201" s="2"/>
      <c r="CY201" s="2"/>
      <c r="CZ201" s="2"/>
      <c r="DA201" s="2"/>
      <c r="DB201" s="2"/>
      <c r="DC201" s="2"/>
      <c r="DD201" s="2"/>
      <c r="DE201" s="2"/>
      <c r="DF201" s="2"/>
      <c r="DG201" s="3"/>
      <c r="DH201" s="3"/>
      <c r="DI201" s="3"/>
      <c r="DJ201" s="3"/>
      <c r="DK201" s="3"/>
      <c r="DL201" s="3"/>
      <c r="DM201" s="3"/>
      <c r="DN201" s="3"/>
      <c r="DO201" s="3"/>
      <c r="DP201" s="3"/>
      <c r="DQ201" s="3"/>
      <c r="DR201" s="3"/>
      <c r="DS201" s="3"/>
      <c r="DT201" s="3"/>
      <c r="DU201" s="3"/>
      <c r="DV201" s="3"/>
      <c r="DW201" s="3"/>
      <c r="DX201" s="3"/>
      <c r="DY201" s="3"/>
      <c r="DZ201" s="3"/>
      <c r="EA201" s="3"/>
      <c r="EB201" s="3"/>
      <c r="EC201" s="3"/>
      <c r="ED201" s="3"/>
      <c r="EE201" s="3"/>
      <c r="EF201" s="3"/>
      <c r="EG201" s="3"/>
      <c r="EH201" s="3"/>
      <c r="EI201" s="3"/>
      <c r="EJ201" s="3"/>
      <c r="EK201" s="3"/>
      <c r="EL201" s="3"/>
      <c r="EM201" s="3"/>
      <c r="EN201" s="3"/>
      <c r="EO201" s="3"/>
      <c r="EP201" s="3"/>
      <c r="EQ201" s="3"/>
      <c r="ER201" s="3"/>
      <c r="ES201" s="3"/>
      <c r="ET201" s="3"/>
      <c r="EU201" s="3"/>
      <c r="EV201" s="3"/>
      <c r="EW201" s="3"/>
      <c r="EX201" s="3"/>
      <c r="EY201" s="3"/>
      <c r="EZ201" s="3"/>
      <c r="FA201" s="3"/>
      <c r="FB201" s="3"/>
      <c r="FC201" s="3"/>
      <c r="FD201" s="3"/>
      <c r="FE201" s="3"/>
      <c r="FF201" s="3"/>
      <c r="FG201" s="3"/>
      <c r="FH201" s="3"/>
      <c r="FI201" s="3"/>
      <c r="FJ201" s="3"/>
      <c r="FK201" s="3"/>
      <c r="FL201" s="3"/>
      <c r="FM201" s="3"/>
      <c r="FN201" s="3"/>
      <c r="FO201" s="3"/>
      <c r="FP201" s="3"/>
      <c r="FQ201" s="3"/>
      <c r="FR201" s="3"/>
      <c r="FS201" s="3"/>
      <c r="FT201" s="3"/>
      <c r="FU201" s="3"/>
      <c r="FV201" s="3"/>
      <c r="FW201" s="3"/>
      <c r="FX201" s="3"/>
      <c r="FY201" s="3"/>
      <c r="FZ201" s="3"/>
      <c r="GA201" s="3"/>
      <c r="GB201" s="3"/>
      <c r="GC201" s="3"/>
      <c r="GD201" s="3"/>
      <c r="GE201" s="3"/>
      <c r="GF201" s="3"/>
      <c r="GG201" s="3"/>
      <c r="GH201" s="3"/>
      <c r="GI201" s="3"/>
      <c r="GJ201" s="3"/>
      <c r="GK201" s="3"/>
      <c r="GL201" s="3"/>
      <c r="GM201" s="3"/>
      <c r="GN201" s="3"/>
      <c r="GO201" s="3"/>
      <c r="GP201" s="3"/>
      <c r="GQ201" s="3"/>
      <c r="GR201" s="3"/>
      <c r="GS201" s="3"/>
      <c r="GT201" s="3"/>
      <c r="GU201" s="3"/>
      <c r="GV201" s="3"/>
      <c r="GW201" s="3"/>
      <c r="GX201" s="3">
        <v>0</v>
      </c>
    </row>
    <row r="203" spans="1:245" x14ac:dyDescent="0.2">
      <c r="A203" s="4">
        <v>50</v>
      </c>
      <c r="B203" s="4">
        <v>0</v>
      </c>
      <c r="C203" s="4">
        <v>0</v>
      </c>
      <c r="D203" s="4">
        <v>1</v>
      </c>
      <c r="E203" s="4">
        <v>201</v>
      </c>
      <c r="F203" s="4">
        <f>ROUND(Source!O201,O203)</f>
        <v>212280.22</v>
      </c>
      <c r="G203" s="4" t="s">
        <v>98</v>
      </c>
      <c r="H203" s="4" t="s">
        <v>99</v>
      </c>
      <c r="I203" s="4"/>
      <c r="J203" s="4"/>
      <c r="K203" s="4">
        <v>201</v>
      </c>
      <c r="L203" s="4">
        <v>1</v>
      </c>
      <c r="M203" s="4">
        <v>3</v>
      </c>
      <c r="N203" s="4" t="s">
        <v>3</v>
      </c>
      <c r="O203" s="4">
        <v>2</v>
      </c>
      <c r="P203" s="4"/>
      <c r="Q203" s="4"/>
      <c r="R203" s="4"/>
      <c r="S203" s="4"/>
      <c r="T203" s="4"/>
      <c r="U203" s="4"/>
      <c r="V203" s="4"/>
      <c r="W203" s="4">
        <v>2603.52</v>
      </c>
      <c r="X203" s="4">
        <v>1</v>
      </c>
      <c r="Y203" s="4">
        <v>2603.52</v>
      </c>
      <c r="Z203" s="4"/>
      <c r="AA203" s="4"/>
      <c r="AB203" s="4"/>
    </row>
    <row r="204" spans="1:245" x14ac:dyDescent="0.2">
      <c r="A204" s="4">
        <v>50</v>
      </c>
      <c r="B204" s="4">
        <v>0</v>
      </c>
      <c r="C204" s="4">
        <v>0</v>
      </c>
      <c r="D204" s="4">
        <v>1</v>
      </c>
      <c r="E204" s="4">
        <v>202</v>
      </c>
      <c r="F204" s="4">
        <f>ROUND(Source!P201,O204)</f>
        <v>2698.07</v>
      </c>
      <c r="G204" s="4" t="s">
        <v>100</v>
      </c>
      <c r="H204" s="4" t="s">
        <v>101</v>
      </c>
      <c r="I204" s="4"/>
      <c r="J204" s="4"/>
      <c r="K204" s="4">
        <v>202</v>
      </c>
      <c r="L204" s="4">
        <v>2</v>
      </c>
      <c r="M204" s="4">
        <v>3</v>
      </c>
      <c r="N204" s="4" t="s">
        <v>3</v>
      </c>
      <c r="O204" s="4">
        <v>2</v>
      </c>
      <c r="P204" s="4"/>
      <c r="Q204" s="4"/>
      <c r="R204" s="4"/>
      <c r="S204" s="4"/>
      <c r="T204" s="4"/>
      <c r="U204" s="4"/>
      <c r="V204" s="4"/>
      <c r="W204" s="4">
        <v>115.96</v>
      </c>
      <c r="X204" s="4">
        <v>1</v>
      </c>
      <c r="Y204" s="4">
        <v>115.96</v>
      </c>
      <c r="Z204" s="4"/>
      <c r="AA204" s="4"/>
      <c r="AB204" s="4"/>
    </row>
    <row r="205" spans="1:245" x14ac:dyDescent="0.2">
      <c r="A205" s="4">
        <v>50</v>
      </c>
      <c r="B205" s="4">
        <v>0</v>
      </c>
      <c r="C205" s="4">
        <v>0</v>
      </c>
      <c r="D205" s="4">
        <v>1</v>
      </c>
      <c r="E205" s="4">
        <v>222</v>
      </c>
      <c r="F205" s="4">
        <f>ROUND(Source!AO201,O205)</f>
        <v>0</v>
      </c>
      <c r="G205" s="4" t="s">
        <v>102</v>
      </c>
      <c r="H205" s="4" t="s">
        <v>103</v>
      </c>
      <c r="I205" s="4"/>
      <c r="J205" s="4"/>
      <c r="K205" s="4">
        <v>222</v>
      </c>
      <c r="L205" s="4">
        <v>3</v>
      </c>
      <c r="M205" s="4">
        <v>3</v>
      </c>
      <c r="N205" s="4" t="s">
        <v>3</v>
      </c>
      <c r="O205" s="4">
        <v>2</v>
      </c>
      <c r="P205" s="4"/>
      <c r="Q205" s="4"/>
      <c r="R205" s="4"/>
      <c r="S205" s="4"/>
      <c r="T205" s="4"/>
      <c r="U205" s="4"/>
      <c r="V205" s="4"/>
      <c r="W205" s="4">
        <v>0</v>
      </c>
      <c r="X205" s="4">
        <v>1</v>
      </c>
      <c r="Y205" s="4">
        <v>0</v>
      </c>
      <c r="Z205" s="4"/>
      <c r="AA205" s="4"/>
      <c r="AB205" s="4"/>
    </row>
    <row r="206" spans="1:245" x14ac:dyDescent="0.2">
      <c r="A206" s="4">
        <v>50</v>
      </c>
      <c r="B206" s="4">
        <v>0</v>
      </c>
      <c r="C206" s="4">
        <v>0</v>
      </c>
      <c r="D206" s="4">
        <v>1</v>
      </c>
      <c r="E206" s="4">
        <v>225</v>
      </c>
      <c r="F206" s="4">
        <f>ROUND(Source!AV201,O206)</f>
        <v>2698.07</v>
      </c>
      <c r="G206" s="4" t="s">
        <v>104</v>
      </c>
      <c r="H206" s="4" t="s">
        <v>105</v>
      </c>
      <c r="I206" s="4"/>
      <c r="J206" s="4"/>
      <c r="K206" s="4">
        <v>225</v>
      </c>
      <c r="L206" s="4">
        <v>4</v>
      </c>
      <c r="M206" s="4">
        <v>3</v>
      </c>
      <c r="N206" s="4" t="s">
        <v>3</v>
      </c>
      <c r="O206" s="4">
        <v>2</v>
      </c>
      <c r="P206" s="4"/>
      <c r="Q206" s="4"/>
      <c r="R206" s="4"/>
      <c r="S206" s="4"/>
      <c r="T206" s="4"/>
      <c r="U206" s="4"/>
      <c r="V206" s="4"/>
      <c r="W206" s="4">
        <v>115.96</v>
      </c>
      <c r="X206" s="4">
        <v>1</v>
      </c>
      <c r="Y206" s="4">
        <v>115.96</v>
      </c>
      <c r="Z206" s="4"/>
      <c r="AA206" s="4"/>
      <c r="AB206" s="4"/>
    </row>
    <row r="207" spans="1:245" x14ac:dyDescent="0.2">
      <c r="A207" s="4">
        <v>50</v>
      </c>
      <c r="B207" s="4">
        <v>0</v>
      </c>
      <c r="C207" s="4">
        <v>0</v>
      </c>
      <c r="D207" s="4">
        <v>1</v>
      </c>
      <c r="E207" s="4">
        <v>226</v>
      </c>
      <c r="F207" s="4">
        <f>ROUND(Source!AW201,O207)</f>
        <v>2698.07</v>
      </c>
      <c r="G207" s="4" t="s">
        <v>106</v>
      </c>
      <c r="H207" s="4" t="s">
        <v>107</v>
      </c>
      <c r="I207" s="4"/>
      <c r="J207" s="4"/>
      <c r="K207" s="4">
        <v>226</v>
      </c>
      <c r="L207" s="4">
        <v>5</v>
      </c>
      <c r="M207" s="4">
        <v>3</v>
      </c>
      <c r="N207" s="4" t="s">
        <v>3</v>
      </c>
      <c r="O207" s="4">
        <v>2</v>
      </c>
      <c r="P207" s="4"/>
      <c r="Q207" s="4"/>
      <c r="R207" s="4"/>
      <c r="S207" s="4"/>
      <c r="T207" s="4"/>
      <c r="U207" s="4"/>
      <c r="V207" s="4"/>
      <c r="W207" s="4">
        <v>115.96</v>
      </c>
      <c r="X207" s="4">
        <v>1</v>
      </c>
      <c r="Y207" s="4">
        <v>115.96</v>
      </c>
      <c r="Z207" s="4"/>
      <c r="AA207" s="4"/>
      <c r="AB207" s="4"/>
    </row>
    <row r="208" spans="1:245" x14ac:dyDescent="0.2">
      <c r="A208" s="4">
        <v>50</v>
      </c>
      <c r="B208" s="4">
        <v>0</v>
      </c>
      <c r="C208" s="4">
        <v>0</v>
      </c>
      <c r="D208" s="4">
        <v>1</v>
      </c>
      <c r="E208" s="4">
        <v>227</v>
      </c>
      <c r="F208" s="4">
        <f>ROUND(Source!AX201,O208)</f>
        <v>0</v>
      </c>
      <c r="G208" s="4" t="s">
        <v>108</v>
      </c>
      <c r="H208" s="4" t="s">
        <v>109</v>
      </c>
      <c r="I208" s="4"/>
      <c r="J208" s="4"/>
      <c r="K208" s="4">
        <v>227</v>
      </c>
      <c r="L208" s="4">
        <v>6</v>
      </c>
      <c r="M208" s="4">
        <v>3</v>
      </c>
      <c r="N208" s="4" t="s">
        <v>3</v>
      </c>
      <c r="O208" s="4">
        <v>2</v>
      </c>
      <c r="P208" s="4"/>
      <c r="Q208" s="4"/>
      <c r="R208" s="4"/>
      <c r="S208" s="4"/>
      <c r="T208" s="4"/>
      <c r="U208" s="4"/>
      <c r="V208" s="4"/>
      <c r="W208" s="4">
        <v>0</v>
      </c>
      <c r="X208" s="4">
        <v>1</v>
      </c>
      <c r="Y208" s="4">
        <v>0</v>
      </c>
      <c r="Z208" s="4"/>
      <c r="AA208" s="4"/>
      <c r="AB208" s="4"/>
    </row>
    <row r="209" spans="1:28" x14ac:dyDescent="0.2">
      <c r="A209" s="4">
        <v>50</v>
      </c>
      <c r="B209" s="4">
        <v>0</v>
      </c>
      <c r="C209" s="4">
        <v>0</v>
      </c>
      <c r="D209" s="4">
        <v>1</v>
      </c>
      <c r="E209" s="4">
        <v>228</v>
      </c>
      <c r="F209" s="4">
        <f>ROUND(Source!AY201,O209)</f>
        <v>2698.07</v>
      </c>
      <c r="G209" s="4" t="s">
        <v>110</v>
      </c>
      <c r="H209" s="4" t="s">
        <v>111</v>
      </c>
      <c r="I209" s="4"/>
      <c r="J209" s="4"/>
      <c r="K209" s="4">
        <v>228</v>
      </c>
      <c r="L209" s="4">
        <v>7</v>
      </c>
      <c r="M209" s="4">
        <v>3</v>
      </c>
      <c r="N209" s="4" t="s">
        <v>3</v>
      </c>
      <c r="O209" s="4">
        <v>2</v>
      </c>
      <c r="P209" s="4"/>
      <c r="Q209" s="4"/>
      <c r="R209" s="4"/>
      <c r="S209" s="4"/>
      <c r="T209" s="4"/>
      <c r="U209" s="4"/>
      <c r="V209" s="4"/>
      <c r="W209" s="4">
        <v>115.96</v>
      </c>
      <c r="X209" s="4">
        <v>1</v>
      </c>
      <c r="Y209" s="4">
        <v>115.96</v>
      </c>
      <c r="Z209" s="4"/>
      <c r="AA209" s="4"/>
      <c r="AB209" s="4"/>
    </row>
    <row r="210" spans="1:28" x14ac:dyDescent="0.2">
      <c r="A210" s="4">
        <v>50</v>
      </c>
      <c r="B210" s="4">
        <v>0</v>
      </c>
      <c r="C210" s="4">
        <v>0</v>
      </c>
      <c r="D210" s="4">
        <v>1</v>
      </c>
      <c r="E210" s="4">
        <v>216</v>
      </c>
      <c r="F210" s="4">
        <f>ROUND(Source!AP201,O210)</f>
        <v>0</v>
      </c>
      <c r="G210" s="4" t="s">
        <v>112</v>
      </c>
      <c r="H210" s="4" t="s">
        <v>113</v>
      </c>
      <c r="I210" s="4"/>
      <c r="J210" s="4"/>
      <c r="K210" s="4">
        <v>216</v>
      </c>
      <c r="L210" s="4">
        <v>8</v>
      </c>
      <c r="M210" s="4">
        <v>3</v>
      </c>
      <c r="N210" s="4" t="s">
        <v>3</v>
      </c>
      <c r="O210" s="4">
        <v>2</v>
      </c>
      <c r="P210" s="4"/>
      <c r="Q210" s="4"/>
      <c r="R210" s="4"/>
      <c r="S210" s="4"/>
      <c r="T210" s="4"/>
      <c r="U210" s="4"/>
      <c r="V210" s="4"/>
      <c r="W210" s="4">
        <v>0</v>
      </c>
      <c r="X210" s="4">
        <v>1</v>
      </c>
      <c r="Y210" s="4">
        <v>0</v>
      </c>
      <c r="Z210" s="4"/>
      <c r="AA210" s="4"/>
      <c r="AB210" s="4"/>
    </row>
    <row r="211" spans="1:28" x14ac:dyDescent="0.2">
      <c r="A211" s="4">
        <v>50</v>
      </c>
      <c r="B211" s="4">
        <v>0</v>
      </c>
      <c r="C211" s="4">
        <v>0</v>
      </c>
      <c r="D211" s="4">
        <v>1</v>
      </c>
      <c r="E211" s="4">
        <v>223</v>
      </c>
      <c r="F211" s="4">
        <f>ROUND(Source!AQ201,O211)</f>
        <v>0</v>
      </c>
      <c r="G211" s="4" t="s">
        <v>114</v>
      </c>
      <c r="H211" s="4" t="s">
        <v>115</v>
      </c>
      <c r="I211" s="4"/>
      <c r="J211" s="4"/>
      <c r="K211" s="4">
        <v>223</v>
      </c>
      <c r="L211" s="4">
        <v>9</v>
      </c>
      <c r="M211" s="4">
        <v>3</v>
      </c>
      <c r="N211" s="4" t="s">
        <v>3</v>
      </c>
      <c r="O211" s="4">
        <v>2</v>
      </c>
      <c r="P211" s="4"/>
      <c r="Q211" s="4"/>
      <c r="R211" s="4"/>
      <c r="S211" s="4"/>
      <c r="T211" s="4"/>
      <c r="U211" s="4"/>
      <c r="V211" s="4"/>
      <c r="W211" s="4">
        <v>0</v>
      </c>
      <c r="X211" s="4">
        <v>1</v>
      </c>
      <c r="Y211" s="4">
        <v>0</v>
      </c>
      <c r="Z211" s="4"/>
      <c r="AA211" s="4"/>
      <c r="AB211" s="4"/>
    </row>
    <row r="212" spans="1:28" x14ac:dyDescent="0.2">
      <c r="A212" s="4">
        <v>50</v>
      </c>
      <c r="B212" s="4">
        <v>0</v>
      </c>
      <c r="C212" s="4">
        <v>0</v>
      </c>
      <c r="D212" s="4">
        <v>1</v>
      </c>
      <c r="E212" s="4">
        <v>229</v>
      </c>
      <c r="F212" s="4">
        <f>ROUND(Source!AZ201,O212)</f>
        <v>0</v>
      </c>
      <c r="G212" s="4" t="s">
        <v>116</v>
      </c>
      <c r="H212" s="4" t="s">
        <v>117</v>
      </c>
      <c r="I212" s="4"/>
      <c r="J212" s="4"/>
      <c r="K212" s="4">
        <v>229</v>
      </c>
      <c r="L212" s="4">
        <v>10</v>
      </c>
      <c r="M212" s="4">
        <v>3</v>
      </c>
      <c r="N212" s="4" t="s">
        <v>3</v>
      </c>
      <c r="O212" s="4">
        <v>2</v>
      </c>
      <c r="P212" s="4"/>
      <c r="Q212" s="4"/>
      <c r="R212" s="4"/>
      <c r="S212" s="4"/>
      <c r="T212" s="4"/>
      <c r="U212" s="4"/>
      <c r="V212" s="4"/>
      <c r="W212" s="4">
        <v>0</v>
      </c>
      <c r="X212" s="4">
        <v>1</v>
      </c>
      <c r="Y212" s="4">
        <v>0</v>
      </c>
      <c r="Z212" s="4"/>
      <c r="AA212" s="4"/>
      <c r="AB212" s="4"/>
    </row>
    <row r="213" spans="1:28" x14ac:dyDescent="0.2">
      <c r="A213" s="4">
        <v>50</v>
      </c>
      <c r="B213" s="4">
        <v>0</v>
      </c>
      <c r="C213" s="4">
        <v>0</v>
      </c>
      <c r="D213" s="4">
        <v>1</v>
      </c>
      <c r="E213" s="4">
        <v>203</v>
      </c>
      <c r="F213" s="4">
        <f>ROUND(Source!Q201,O213)</f>
        <v>2480.94</v>
      </c>
      <c r="G213" s="4" t="s">
        <v>118</v>
      </c>
      <c r="H213" s="4" t="s">
        <v>119</v>
      </c>
      <c r="I213" s="4"/>
      <c r="J213" s="4"/>
      <c r="K213" s="4">
        <v>203</v>
      </c>
      <c r="L213" s="4">
        <v>11</v>
      </c>
      <c r="M213" s="4">
        <v>3</v>
      </c>
      <c r="N213" s="4" t="s">
        <v>3</v>
      </c>
      <c r="O213" s="4">
        <v>2</v>
      </c>
      <c r="P213" s="4"/>
      <c r="Q213" s="4"/>
      <c r="R213" s="4"/>
      <c r="S213" s="4"/>
      <c r="T213" s="4"/>
      <c r="U213" s="4"/>
      <c r="V213" s="4"/>
      <c r="W213" s="4">
        <v>0</v>
      </c>
      <c r="X213" s="4">
        <v>1</v>
      </c>
      <c r="Y213" s="4">
        <v>0</v>
      </c>
      <c r="Z213" s="4"/>
      <c r="AA213" s="4"/>
      <c r="AB213" s="4"/>
    </row>
    <row r="214" spans="1:28" x14ac:dyDescent="0.2">
      <c r="A214" s="4">
        <v>50</v>
      </c>
      <c r="B214" s="4">
        <v>0</v>
      </c>
      <c r="C214" s="4">
        <v>0</v>
      </c>
      <c r="D214" s="4">
        <v>1</v>
      </c>
      <c r="E214" s="4">
        <v>231</v>
      </c>
      <c r="F214" s="4">
        <f>ROUND(Source!BB201,O214)</f>
        <v>0</v>
      </c>
      <c r="G214" s="4" t="s">
        <v>120</v>
      </c>
      <c r="H214" s="4" t="s">
        <v>121</v>
      </c>
      <c r="I214" s="4"/>
      <c r="J214" s="4"/>
      <c r="K214" s="4">
        <v>231</v>
      </c>
      <c r="L214" s="4">
        <v>12</v>
      </c>
      <c r="M214" s="4">
        <v>3</v>
      </c>
      <c r="N214" s="4" t="s">
        <v>3</v>
      </c>
      <c r="O214" s="4">
        <v>2</v>
      </c>
      <c r="P214" s="4"/>
      <c r="Q214" s="4"/>
      <c r="R214" s="4"/>
      <c r="S214" s="4"/>
      <c r="T214" s="4"/>
      <c r="U214" s="4"/>
      <c r="V214" s="4"/>
      <c r="W214" s="4">
        <v>0</v>
      </c>
      <c r="X214" s="4">
        <v>1</v>
      </c>
      <c r="Y214" s="4">
        <v>0</v>
      </c>
      <c r="Z214" s="4"/>
      <c r="AA214" s="4"/>
      <c r="AB214" s="4"/>
    </row>
    <row r="215" spans="1:28" x14ac:dyDescent="0.2">
      <c r="A215" s="4">
        <v>50</v>
      </c>
      <c r="B215" s="4">
        <v>0</v>
      </c>
      <c r="C215" s="4">
        <v>0</v>
      </c>
      <c r="D215" s="4">
        <v>1</v>
      </c>
      <c r="E215" s="4">
        <v>204</v>
      </c>
      <c r="F215" s="4">
        <f>ROUND(Source!R201,O215)</f>
        <v>1573.08</v>
      </c>
      <c r="G215" s="4" t="s">
        <v>122</v>
      </c>
      <c r="H215" s="4" t="s">
        <v>123</v>
      </c>
      <c r="I215" s="4"/>
      <c r="J215" s="4"/>
      <c r="K215" s="4">
        <v>204</v>
      </c>
      <c r="L215" s="4">
        <v>13</v>
      </c>
      <c r="M215" s="4">
        <v>3</v>
      </c>
      <c r="N215" s="4" t="s">
        <v>3</v>
      </c>
      <c r="O215" s="4">
        <v>2</v>
      </c>
      <c r="P215" s="4"/>
      <c r="Q215" s="4"/>
      <c r="R215" s="4"/>
      <c r="S215" s="4"/>
      <c r="T215" s="4"/>
      <c r="U215" s="4"/>
      <c r="V215" s="4"/>
      <c r="W215" s="4">
        <v>0</v>
      </c>
      <c r="X215" s="4">
        <v>1</v>
      </c>
      <c r="Y215" s="4">
        <v>0</v>
      </c>
      <c r="Z215" s="4"/>
      <c r="AA215" s="4"/>
      <c r="AB215" s="4"/>
    </row>
    <row r="216" spans="1:28" x14ac:dyDescent="0.2">
      <c r="A216" s="4">
        <v>50</v>
      </c>
      <c r="B216" s="4">
        <v>0</v>
      </c>
      <c r="C216" s="4">
        <v>0</v>
      </c>
      <c r="D216" s="4">
        <v>1</v>
      </c>
      <c r="E216" s="4">
        <v>205</v>
      </c>
      <c r="F216" s="4">
        <f>ROUND(Source!S201,O216)</f>
        <v>207101.21</v>
      </c>
      <c r="G216" s="4" t="s">
        <v>124</v>
      </c>
      <c r="H216" s="4" t="s">
        <v>125</v>
      </c>
      <c r="I216" s="4"/>
      <c r="J216" s="4"/>
      <c r="K216" s="4">
        <v>205</v>
      </c>
      <c r="L216" s="4">
        <v>14</v>
      </c>
      <c r="M216" s="4">
        <v>3</v>
      </c>
      <c r="N216" s="4" t="s">
        <v>3</v>
      </c>
      <c r="O216" s="4">
        <v>2</v>
      </c>
      <c r="P216" s="4"/>
      <c r="Q216" s="4"/>
      <c r="R216" s="4"/>
      <c r="S216" s="4"/>
      <c r="T216" s="4"/>
      <c r="U216" s="4"/>
      <c r="V216" s="4"/>
      <c r="W216" s="4">
        <v>2487.56</v>
      </c>
      <c r="X216" s="4">
        <v>1</v>
      </c>
      <c r="Y216" s="4">
        <v>2487.56</v>
      </c>
      <c r="Z216" s="4"/>
      <c r="AA216" s="4"/>
      <c r="AB216" s="4"/>
    </row>
    <row r="217" spans="1:28" x14ac:dyDescent="0.2">
      <c r="A217" s="4">
        <v>50</v>
      </c>
      <c r="B217" s="4">
        <v>0</v>
      </c>
      <c r="C217" s="4">
        <v>0</v>
      </c>
      <c r="D217" s="4">
        <v>1</v>
      </c>
      <c r="E217" s="4">
        <v>232</v>
      </c>
      <c r="F217" s="4">
        <f>ROUND(Source!BC201,O217)</f>
        <v>0</v>
      </c>
      <c r="G217" s="4" t="s">
        <v>126</v>
      </c>
      <c r="H217" s="4" t="s">
        <v>127</v>
      </c>
      <c r="I217" s="4"/>
      <c r="J217" s="4"/>
      <c r="K217" s="4">
        <v>232</v>
      </c>
      <c r="L217" s="4">
        <v>15</v>
      </c>
      <c r="M217" s="4">
        <v>3</v>
      </c>
      <c r="N217" s="4" t="s">
        <v>3</v>
      </c>
      <c r="O217" s="4">
        <v>2</v>
      </c>
      <c r="P217" s="4"/>
      <c r="Q217" s="4"/>
      <c r="R217" s="4"/>
      <c r="S217" s="4"/>
      <c r="T217" s="4"/>
      <c r="U217" s="4"/>
      <c r="V217" s="4"/>
      <c r="W217" s="4">
        <v>0</v>
      </c>
      <c r="X217" s="4">
        <v>1</v>
      </c>
      <c r="Y217" s="4">
        <v>0</v>
      </c>
      <c r="Z217" s="4"/>
      <c r="AA217" s="4"/>
      <c r="AB217" s="4"/>
    </row>
    <row r="218" spans="1:28" x14ac:dyDescent="0.2">
      <c r="A218" s="4">
        <v>50</v>
      </c>
      <c r="B218" s="4">
        <v>0</v>
      </c>
      <c r="C218" s="4">
        <v>0</v>
      </c>
      <c r="D218" s="4">
        <v>1</v>
      </c>
      <c r="E218" s="4">
        <v>214</v>
      </c>
      <c r="F218" s="4">
        <f>ROUND(Source!AS201,O218)</f>
        <v>0</v>
      </c>
      <c r="G218" s="4" t="s">
        <v>128</v>
      </c>
      <c r="H218" s="4" t="s">
        <v>129</v>
      </c>
      <c r="I218" s="4"/>
      <c r="J218" s="4"/>
      <c r="K218" s="4">
        <v>214</v>
      </c>
      <c r="L218" s="4">
        <v>16</v>
      </c>
      <c r="M218" s="4">
        <v>3</v>
      </c>
      <c r="N218" s="4" t="s">
        <v>3</v>
      </c>
      <c r="O218" s="4">
        <v>2</v>
      </c>
      <c r="P218" s="4"/>
      <c r="Q218" s="4"/>
      <c r="R218" s="4"/>
      <c r="S218" s="4"/>
      <c r="T218" s="4"/>
      <c r="U218" s="4"/>
      <c r="V218" s="4"/>
      <c r="W218" s="4">
        <v>0</v>
      </c>
      <c r="X218" s="4">
        <v>1</v>
      </c>
      <c r="Y218" s="4">
        <v>0</v>
      </c>
      <c r="Z218" s="4"/>
      <c r="AA218" s="4"/>
      <c r="AB218" s="4"/>
    </row>
    <row r="219" spans="1:28" x14ac:dyDescent="0.2">
      <c r="A219" s="4">
        <v>50</v>
      </c>
      <c r="B219" s="4">
        <v>0</v>
      </c>
      <c r="C219" s="4">
        <v>0</v>
      </c>
      <c r="D219" s="4">
        <v>1</v>
      </c>
      <c r="E219" s="4">
        <v>215</v>
      </c>
      <c r="F219" s="4">
        <f>ROUND(Source!AT201,O219)</f>
        <v>0</v>
      </c>
      <c r="G219" s="4" t="s">
        <v>130</v>
      </c>
      <c r="H219" s="4" t="s">
        <v>131</v>
      </c>
      <c r="I219" s="4"/>
      <c r="J219" s="4"/>
      <c r="K219" s="4">
        <v>215</v>
      </c>
      <c r="L219" s="4">
        <v>17</v>
      </c>
      <c r="M219" s="4">
        <v>3</v>
      </c>
      <c r="N219" s="4" t="s">
        <v>3</v>
      </c>
      <c r="O219" s="4">
        <v>2</v>
      </c>
      <c r="P219" s="4"/>
      <c r="Q219" s="4"/>
      <c r="R219" s="4"/>
      <c r="S219" s="4"/>
      <c r="T219" s="4"/>
      <c r="U219" s="4"/>
      <c r="V219" s="4"/>
      <c r="W219" s="4">
        <v>0</v>
      </c>
      <c r="X219" s="4">
        <v>1</v>
      </c>
      <c r="Y219" s="4">
        <v>0</v>
      </c>
      <c r="Z219" s="4"/>
      <c r="AA219" s="4"/>
      <c r="AB219" s="4"/>
    </row>
    <row r="220" spans="1:28" x14ac:dyDescent="0.2">
      <c r="A220" s="4">
        <v>50</v>
      </c>
      <c r="B220" s="4">
        <v>0</v>
      </c>
      <c r="C220" s="4">
        <v>0</v>
      </c>
      <c r="D220" s="4">
        <v>1</v>
      </c>
      <c r="E220" s="4">
        <v>217</v>
      </c>
      <c r="F220" s="4">
        <f>ROUND(Source!AU201,O220)</f>
        <v>379660.11</v>
      </c>
      <c r="G220" s="4" t="s">
        <v>132</v>
      </c>
      <c r="H220" s="4" t="s">
        <v>133</v>
      </c>
      <c r="I220" s="4"/>
      <c r="J220" s="4"/>
      <c r="K220" s="4">
        <v>217</v>
      </c>
      <c r="L220" s="4">
        <v>18</v>
      </c>
      <c r="M220" s="4">
        <v>3</v>
      </c>
      <c r="N220" s="4" t="s">
        <v>3</v>
      </c>
      <c r="O220" s="4">
        <v>2</v>
      </c>
      <c r="P220" s="4"/>
      <c r="Q220" s="4"/>
      <c r="R220" s="4"/>
      <c r="S220" s="4"/>
      <c r="T220" s="4"/>
      <c r="U220" s="4"/>
      <c r="V220" s="4"/>
      <c r="W220" s="4">
        <v>4593.5600000000004</v>
      </c>
      <c r="X220" s="4">
        <v>1</v>
      </c>
      <c r="Y220" s="4">
        <v>4593.5600000000004</v>
      </c>
      <c r="Z220" s="4"/>
      <c r="AA220" s="4"/>
      <c r="AB220" s="4"/>
    </row>
    <row r="221" spans="1:28" x14ac:dyDescent="0.2">
      <c r="A221" s="4">
        <v>50</v>
      </c>
      <c r="B221" s="4">
        <v>0</v>
      </c>
      <c r="C221" s="4">
        <v>0</v>
      </c>
      <c r="D221" s="4">
        <v>1</v>
      </c>
      <c r="E221" s="4">
        <v>230</v>
      </c>
      <c r="F221" s="4">
        <f>ROUND(Source!BA201,O221)</f>
        <v>0</v>
      </c>
      <c r="G221" s="4" t="s">
        <v>134</v>
      </c>
      <c r="H221" s="4" t="s">
        <v>135</v>
      </c>
      <c r="I221" s="4"/>
      <c r="J221" s="4"/>
      <c r="K221" s="4">
        <v>230</v>
      </c>
      <c r="L221" s="4">
        <v>19</v>
      </c>
      <c r="M221" s="4">
        <v>3</v>
      </c>
      <c r="N221" s="4" t="s">
        <v>3</v>
      </c>
      <c r="O221" s="4">
        <v>2</v>
      </c>
      <c r="P221" s="4"/>
      <c r="Q221" s="4"/>
      <c r="R221" s="4"/>
      <c r="S221" s="4"/>
      <c r="T221" s="4"/>
      <c r="U221" s="4"/>
      <c r="V221" s="4"/>
      <c r="W221" s="4">
        <v>0</v>
      </c>
      <c r="X221" s="4">
        <v>1</v>
      </c>
      <c r="Y221" s="4">
        <v>0</v>
      </c>
      <c r="Z221" s="4"/>
      <c r="AA221" s="4"/>
      <c r="AB221" s="4"/>
    </row>
    <row r="222" spans="1:28" x14ac:dyDescent="0.2">
      <c r="A222" s="4">
        <v>50</v>
      </c>
      <c r="B222" s="4">
        <v>0</v>
      </c>
      <c r="C222" s="4">
        <v>0</v>
      </c>
      <c r="D222" s="4">
        <v>1</v>
      </c>
      <c r="E222" s="4">
        <v>206</v>
      </c>
      <c r="F222" s="4">
        <f>ROUND(Source!T201,O222)</f>
        <v>0</v>
      </c>
      <c r="G222" s="4" t="s">
        <v>136</v>
      </c>
      <c r="H222" s="4" t="s">
        <v>137</v>
      </c>
      <c r="I222" s="4"/>
      <c r="J222" s="4"/>
      <c r="K222" s="4">
        <v>206</v>
      </c>
      <c r="L222" s="4">
        <v>20</v>
      </c>
      <c r="M222" s="4">
        <v>3</v>
      </c>
      <c r="N222" s="4" t="s">
        <v>3</v>
      </c>
      <c r="O222" s="4">
        <v>2</v>
      </c>
      <c r="P222" s="4"/>
      <c r="Q222" s="4"/>
      <c r="R222" s="4"/>
      <c r="S222" s="4"/>
      <c r="T222" s="4"/>
      <c r="U222" s="4"/>
      <c r="V222" s="4"/>
      <c r="W222" s="4">
        <v>0</v>
      </c>
      <c r="X222" s="4">
        <v>1</v>
      </c>
      <c r="Y222" s="4">
        <v>0</v>
      </c>
      <c r="Z222" s="4"/>
      <c r="AA222" s="4"/>
      <c r="AB222" s="4"/>
    </row>
    <row r="223" spans="1:28" x14ac:dyDescent="0.2">
      <c r="A223" s="4">
        <v>50</v>
      </c>
      <c r="B223" s="4">
        <v>0</v>
      </c>
      <c r="C223" s="4">
        <v>0</v>
      </c>
      <c r="D223" s="4">
        <v>1</v>
      </c>
      <c r="E223" s="4">
        <v>207</v>
      </c>
      <c r="F223" s="4">
        <f>Source!U201</f>
        <v>335.36599999999993</v>
      </c>
      <c r="G223" s="4" t="s">
        <v>138</v>
      </c>
      <c r="H223" s="4" t="s">
        <v>139</v>
      </c>
      <c r="I223" s="4"/>
      <c r="J223" s="4"/>
      <c r="K223" s="4">
        <v>207</v>
      </c>
      <c r="L223" s="4">
        <v>21</v>
      </c>
      <c r="M223" s="4">
        <v>3</v>
      </c>
      <c r="N223" s="4" t="s">
        <v>3</v>
      </c>
      <c r="O223" s="4">
        <v>-1</v>
      </c>
      <c r="P223" s="4"/>
      <c r="Q223" s="4"/>
      <c r="R223" s="4"/>
      <c r="S223" s="4"/>
      <c r="T223" s="4"/>
      <c r="U223" s="4"/>
      <c r="V223" s="4"/>
      <c r="W223" s="4">
        <v>4.8999999999999995</v>
      </c>
      <c r="X223" s="4">
        <v>1</v>
      </c>
      <c r="Y223" s="4">
        <v>4.8999999999999995</v>
      </c>
      <c r="Z223" s="4"/>
      <c r="AA223" s="4"/>
      <c r="AB223" s="4"/>
    </row>
    <row r="224" spans="1:28" x14ac:dyDescent="0.2">
      <c r="A224" s="4">
        <v>50</v>
      </c>
      <c r="B224" s="4">
        <v>0</v>
      </c>
      <c r="C224" s="4">
        <v>0</v>
      </c>
      <c r="D224" s="4">
        <v>1</v>
      </c>
      <c r="E224" s="4">
        <v>208</v>
      </c>
      <c r="F224" s="4">
        <f>Source!V201</f>
        <v>0</v>
      </c>
      <c r="G224" s="4" t="s">
        <v>140</v>
      </c>
      <c r="H224" s="4" t="s">
        <v>141</v>
      </c>
      <c r="I224" s="4"/>
      <c r="J224" s="4"/>
      <c r="K224" s="4">
        <v>208</v>
      </c>
      <c r="L224" s="4">
        <v>22</v>
      </c>
      <c r="M224" s="4">
        <v>3</v>
      </c>
      <c r="N224" s="4" t="s">
        <v>3</v>
      </c>
      <c r="O224" s="4">
        <v>-1</v>
      </c>
      <c r="P224" s="4"/>
      <c r="Q224" s="4"/>
      <c r="R224" s="4"/>
      <c r="S224" s="4"/>
      <c r="T224" s="4"/>
      <c r="U224" s="4"/>
      <c r="V224" s="4"/>
      <c r="W224" s="4">
        <v>0</v>
      </c>
      <c r="X224" s="4">
        <v>1</v>
      </c>
      <c r="Y224" s="4">
        <v>0</v>
      </c>
      <c r="Z224" s="4"/>
      <c r="AA224" s="4"/>
      <c r="AB224" s="4"/>
    </row>
    <row r="225" spans="1:206" x14ac:dyDescent="0.2">
      <c r="A225" s="4">
        <v>50</v>
      </c>
      <c r="B225" s="4">
        <v>0</v>
      </c>
      <c r="C225" s="4">
        <v>0</v>
      </c>
      <c r="D225" s="4">
        <v>1</v>
      </c>
      <c r="E225" s="4">
        <v>209</v>
      </c>
      <c r="F225" s="4">
        <f>ROUND(Source!W201,O225)</f>
        <v>0</v>
      </c>
      <c r="G225" s="4" t="s">
        <v>142</v>
      </c>
      <c r="H225" s="4" t="s">
        <v>143</v>
      </c>
      <c r="I225" s="4"/>
      <c r="J225" s="4"/>
      <c r="K225" s="4">
        <v>209</v>
      </c>
      <c r="L225" s="4">
        <v>23</v>
      </c>
      <c r="M225" s="4">
        <v>3</v>
      </c>
      <c r="N225" s="4" t="s">
        <v>3</v>
      </c>
      <c r="O225" s="4">
        <v>2</v>
      </c>
      <c r="P225" s="4"/>
      <c r="Q225" s="4"/>
      <c r="R225" s="4"/>
      <c r="S225" s="4"/>
      <c r="T225" s="4"/>
      <c r="U225" s="4"/>
      <c r="V225" s="4"/>
      <c r="W225" s="4">
        <v>0</v>
      </c>
      <c r="X225" s="4">
        <v>1</v>
      </c>
      <c r="Y225" s="4">
        <v>0</v>
      </c>
      <c r="Z225" s="4"/>
      <c r="AA225" s="4"/>
      <c r="AB225" s="4"/>
    </row>
    <row r="226" spans="1:206" x14ac:dyDescent="0.2">
      <c r="A226" s="4">
        <v>50</v>
      </c>
      <c r="B226" s="4">
        <v>0</v>
      </c>
      <c r="C226" s="4">
        <v>0</v>
      </c>
      <c r="D226" s="4">
        <v>1</v>
      </c>
      <c r="E226" s="4">
        <v>233</v>
      </c>
      <c r="F226" s="4">
        <f>ROUND(Source!BD201,O226)</f>
        <v>0</v>
      </c>
      <c r="G226" s="4" t="s">
        <v>144</v>
      </c>
      <c r="H226" s="4" t="s">
        <v>145</v>
      </c>
      <c r="I226" s="4"/>
      <c r="J226" s="4"/>
      <c r="K226" s="4">
        <v>233</v>
      </c>
      <c r="L226" s="4">
        <v>24</v>
      </c>
      <c r="M226" s="4">
        <v>3</v>
      </c>
      <c r="N226" s="4" t="s">
        <v>3</v>
      </c>
      <c r="O226" s="4">
        <v>2</v>
      </c>
      <c r="P226" s="4"/>
      <c r="Q226" s="4"/>
      <c r="R226" s="4"/>
      <c r="S226" s="4"/>
      <c r="T226" s="4"/>
      <c r="U226" s="4"/>
      <c r="V226" s="4"/>
      <c r="W226" s="4">
        <v>0</v>
      </c>
      <c r="X226" s="4">
        <v>1</v>
      </c>
      <c r="Y226" s="4">
        <v>0</v>
      </c>
      <c r="Z226" s="4"/>
      <c r="AA226" s="4"/>
      <c r="AB226" s="4"/>
    </row>
    <row r="227" spans="1:206" x14ac:dyDescent="0.2">
      <c r="A227" s="4">
        <v>50</v>
      </c>
      <c r="B227" s="4">
        <v>0</v>
      </c>
      <c r="C227" s="4">
        <v>0</v>
      </c>
      <c r="D227" s="4">
        <v>1</v>
      </c>
      <c r="E227" s="4">
        <v>210</v>
      </c>
      <c r="F227" s="4">
        <f>ROUND(Source!X201,O227)</f>
        <v>144970.85</v>
      </c>
      <c r="G227" s="4" t="s">
        <v>146</v>
      </c>
      <c r="H227" s="4" t="s">
        <v>147</v>
      </c>
      <c r="I227" s="4"/>
      <c r="J227" s="4"/>
      <c r="K227" s="4">
        <v>210</v>
      </c>
      <c r="L227" s="4">
        <v>25</v>
      </c>
      <c r="M227" s="4">
        <v>3</v>
      </c>
      <c r="N227" s="4" t="s">
        <v>3</v>
      </c>
      <c r="O227" s="4">
        <v>2</v>
      </c>
      <c r="P227" s="4"/>
      <c r="Q227" s="4"/>
      <c r="R227" s="4"/>
      <c r="S227" s="4"/>
      <c r="T227" s="4"/>
      <c r="U227" s="4"/>
      <c r="V227" s="4"/>
      <c r="W227" s="4">
        <v>1741.29</v>
      </c>
      <c r="X227" s="4">
        <v>1</v>
      </c>
      <c r="Y227" s="4">
        <v>1741.29</v>
      </c>
      <c r="Z227" s="4"/>
      <c r="AA227" s="4"/>
      <c r="AB227" s="4"/>
    </row>
    <row r="228" spans="1:206" x14ac:dyDescent="0.2">
      <c r="A228" s="4">
        <v>50</v>
      </c>
      <c r="B228" s="4">
        <v>0</v>
      </c>
      <c r="C228" s="4">
        <v>0</v>
      </c>
      <c r="D228" s="4">
        <v>1</v>
      </c>
      <c r="E228" s="4">
        <v>211</v>
      </c>
      <c r="F228" s="4">
        <f>ROUND(Source!Y201,O228)</f>
        <v>20710.11</v>
      </c>
      <c r="G228" s="4" t="s">
        <v>148</v>
      </c>
      <c r="H228" s="4" t="s">
        <v>149</v>
      </c>
      <c r="I228" s="4"/>
      <c r="J228" s="4"/>
      <c r="K228" s="4">
        <v>211</v>
      </c>
      <c r="L228" s="4">
        <v>26</v>
      </c>
      <c r="M228" s="4">
        <v>3</v>
      </c>
      <c r="N228" s="4" t="s">
        <v>3</v>
      </c>
      <c r="O228" s="4">
        <v>2</v>
      </c>
      <c r="P228" s="4"/>
      <c r="Q228" s="4"/>
      <c r="R228" s="4"/>
      <c r="S228" s="4"/>
      <c r="T228" s="4"/>
      <c r="U228" s="4"/>
      <c r="V228" s="4"/>
      <c r="W228" s="4">
        <v>248.75</v>
      </c>
      <c r="X228" s="4">
        <v>1</v>
      </c>
      <c r="Y228" s="4">
        <v>248.75</v>
      </c>
      <c r="Z228" s="4"/>
      <c r="AA228" s="4"/>
      <c r="AB228" s="4"/>
    </row>
    <row r="229" spans="1:206" x14ac:dyDescent="0.2">
      <c r="A229" s="4">
        <v>50</v>
      </c>
      <c r="B229" s="4">
        <v>0</v>
      </c>
      <c r="C229" s="4">
        <v>0</v>
      </c>
      <c r="D229" s="4">
        <v>1</v>
      </c>
      <c r="E229" s="4">
        <v>224</v>
      </c>
      <c r="F229" s="4">
        <f>ROUND(Source!AR201,O229)</f>
        <v>379660.11</v>
      </c>
      <c r="G229" s="4" t="s">
        <v>150</v>
      </c>
      <c r="H229" s="4" t="s">
        <v>151</v>
      </c>
      <c r="I229" s="4"/>
      <c r="J229" s="4"/>
      <c r="K229" s="4">
        <v>224</v>
      </c>
      <c r="L229" s="4">
        <v>27</v>
      </c>
      <c r="M229" s="4">
        <v>3</v>
      </c>
      <c r="N229" s="4" t="s">
        <v>3</v>
      </c>
      <c r="O229" s="4">
        <v>2</v>
      </c>
      <c r="P229" s="4"/>
      <c r="Q229" s="4"/>
      <c r="R229" s="4"/>
      <c r="S229" s="4"/>
      <c r="T229" s="4"/>
      <c r="U229" s="4"/>
      <c r="V229" s="4"/>
      <c r="W229" s="4">
        <v>4593.5600000000004</v>
      </c>
      <c r="X229" s="4">
        <v>1</v>
      </c>
      <c r="Y229" s="4">
        <v>4593.5600000000004</v>
      </c>
      <c r="Z229" s="4"/>
      <c r="AA229" s="4"/>
      <c r="AB229" s="4"/>
    </row>
    <row r="231" spans="1:206" x14ac:dyDescent="0.2">
      <c r="A231" s="2">
        <v>51</v>
      </c>
      <c r="B231" s="2">
        <f>B24</f>
        <v>1</v>
      </c>
      <c r="C231" s="2">
        <f>A24</f>
        <v>4</v>
      </c>
      <c r="D231" s="2">
        <f>ROW(A24)</f>
        <v>24</v>
      </c>
      <c r="E231" s="2"/>
      <c r="F231" s="2" t="str">
        <f>IF(F24&lt;&gt;"",F24,"")</f>
        <v>Новый раздел</v>
      </c>
      <c r="G231" s="2" t="str">
        <f>IF(G24&lt;&gt;"",G24,"")</f>
        <v>Туалетные модули (7 шт) по адресу: г. Москва, городское поселение Краснопахорское, квартал 107</v>
      </c>
      <c r="H231" s="2">
        <v>0</v>
      </c>
      <c r="I231" s="2"/>
      <c r="J231" s="2"/>
      <c r="K231" s="2"/>
      <c r="L231" s="2"/>
      <c r="M231" s="2"/>
      <c r="N231" s="2"/>
      <c r="O231" s="2">
        <f t="shared" ref="O231:T231" si="234">ROUND(O54+O92+O136+O201+AB231,2)</f>
        <v>554142.57999999996</v>
      </c>
      <c r="P231" s="2">
        <f t="shared" si="234"/>
        <v>5237.04</v>
      </c>
      <c r="Q231" s="2">
        <f t="shared" si="234"/>
        <v>29024.28</v>
      </c>
      <c r="R231" s="2">
        <f t="shared" si="234"/>
        <v>18266.34</v>
      </c>
      <c r="S231" s="2">
        <f t="shared" si="234"/>
        <v>519881.26</v>
      </c>
      <c r="T231" s="2">
        <f t="shared" si="234"/>
        <v>0</v>
      </c>
      <c r="U231" s="2">
        <f>U54+U92+U136+U201+AH231</f>
        <v>903.74289999999996</v>
      </c>
      <c r="V231" s="2">
        <f>V54+V92+V136+V201+AI231</f>
        <v>0</v>
      </c>
      <c r="W231" s="2">
        <f>ROUND(W54+W92+W136+W201+AJ231,2)</f>
        <v>0</v>
      </c>
      <c r="X231" s="2">
        <f>ROUND(X54+X92+X136+X201+AK231,2)</f>
        <v>363916.89</v>
      </c>
      <c r="Y231" s="2">
        <f>ROUND(Y54+Y92+Y136+Y201+AL231,2)</f>
        <v>51988.12</v>
      </c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>
        <f t="shared" ref="AO231:BD231" si="235">ROUND(AO54+AO92+AO136+AO201+BX231,2)</f>
        <v>0</v>
      </c>
      <c r="AP231" s="2">
        <f t="shared" si="235"/>
        <v>0</v>
      </c>
      <c r="AQ231" s="2">
        <f t="shared" si="235"/>
        <v>0</v>
      </c>
      <c r="AR231" s="2">
        <f t="shared" si="235"/>
        <v>989775.24</v>
      </c>
      <c r="AS231" s="2">
        <f t="shared" si="235"/>
        <v>0</v>
      </c>
      <c r="AT231" s="2">
        <f t="shared" si="235"/>
        <v>0</v>
      </c>
      <c r="AU231" s="2">
        <f t="shared" si="235"/>
        <v>989775.24</v>
      </c>
      <c r="AV231" s="2">
        <f t="shared" si="235"/>
        <v>5237.04</v>
      </c>
      <c r="AW231" s="2">
        <f t="shared" si="235"/>
        <v>5237.04</v>
      </c>
      <c r="AX231" s="2">
        <f t="shared" si="235"/>
        <v>0</v>
      </c>
      <c r="AY231" s="2">
        <f t="shared" si="235"/>
        <v>5237.04</v>
      </c>
      <c r="AZ231" s="2">
        <f t="shared" si="235"/>
        <v>0</v>
      </c>
      <c r="BA231" s="2">
        <f t="shared" si="235"/>
        <v>0</v>
      </c>
      <c r="BB231" s="2">
        <f t="shared" si="235"/>
        <v>0</v>
      </c>
      <c r="BC231" s="2">
        <f t="shared" si="235"/>
        <v>0</v>
      </c>
      <c r="BD231" s="2">
        <f t="shared" si="235"/>
        <v>0</v>
      </c>
      <c r="BE231" s="2"/>
      <c r="BF231" s="2"/>
      <c r="BG231" s="2"/>
      <c r="BH231" s="2"/>
      <c r="BI231" s="2"/>
      <c r="BJ231" s="2"/>
      <c r="BK231" s="2"/>
      <c r="BL231" s="2"/>
      <c r="BM231" s="2"/>
      <c r="BN231" s="2"/>
      <c r="BO231" s="2"/>
      <c r="BP231" s="2"/>
      <c r="BQ231" s="2"/>
      <c r="BR231" s="2"/>
      <c r="BS231" s="2"/>
      <c r="BT231" s="2"/>
      <c r="BU231" s="2"/>
      <c r="BV231" s="2"/>
      <c r="BW231" s="2"/>
      <c r="BX231" s="2"/>
      <c r="BY231" s="2"/>
      <c r="BZ231" s="2"/>
      <c r="CA231" s="2"/>
      <c r="CB231" s="2"/>
      <c r="CC231" s="2"/>
      <c r="CD231" s="2"/>
      <c r="CE231" s="2"/>
      <c r="CF231" s="2"/>
      <c r="CG231" s="2"/>
      <c r="CH231" s="2"/>
      <c r="CI231" s="2"/>
      <c r="CJ231" s="2"/>
      <c r="CK231" s="2"/>
      <c r="CL231" s="2"/>
      <c r="CM231" s="2"/>
      <c r="CN231" s="2"/>
      <c r="CO231" s="2"/>
      <c r="CP231" s="2"/>
      <c r="CQ231" s="2"/>
      <c r="CR231" s="2"/>
      <c r="CS231" s="2"/>
      <c r="CT231" s="2"/>
      <c r="CU231" s="2"/>
      <c r="CV231" s="2"/>
      <c r="CW231" s="2"/>
      <c r="CX231" s="2"/>
      <c r="CY231" s="2"/>
      <c r="CZ231" s="2"/>
      <c r="DA231" s="2"/>
      <c r="DB231" s="2"/>
      <c r="DC231" s="2"/>
      <c r="DD231" s="2"/>
      <c r="DE231" s="2"/>
      <c r="DF231" s="2"/>
      <c r="DG231" s="3"/>
      <c r="DH231" s="3"/>
      <c r="DI231" s="3"/>
      <c r="DJ231" s="3"/>
      <c r="DK231" s="3"/>
      <c r="DL231" s="3"/>
      <c r="DM231" s="3"/>
      <c r="DN231" s="3"/>
      <c r="DO231" s="3"/>
      <c r="DP231" s="3"/>
      <c r="DQ231" s="3"/>
      <c r="DR231" s="3"/>
      <c r="DS231" s="3"/>
      <c r="DT231" s="3"/>
      <c r="DU231" s="3"/>
      <c r="DV231" s="3"/>
      <c r="DW231" s="3"/>
      <c r="DX231" s="3"/>
      <c r="DY231" s="3"/>
      <c r="DZ231" s="3"/>
      <c r="EA231" s="3"/>
      <c r="EB231" s="3"/>
      <c r="EC231" s="3"/>
      <c r="ED231" s="3"/>
      <c r="EE231" s="3"/>
      <c r="EF231" s="3"/>
      <c r="EG231" s="3"/>
      <c r="EH231" s="3"/>
      <c r="EI231" s="3"/>
      <c r="EJ231" s="3"/>
      <c r="EK231" s="3"/>
      <c r="EL231" s="3"/>
      <c r="EM231" s="3"/>
      <c r="EN231" s="3"/>
      <c r="EO231" s="3"/>
      <c r="EP231" s="3"/>
      <c r="EQ231" s="3"/>
      <c r="ER231" s="3"/>
      <c r="ES231" s="3"/>
      <c r="ET231" s="3"/>
      <c r="EU231" s="3"/>
      <c r="EV231" s="3"/>
      <c r="EW231" s="3"/>
      <c r="EX231" s="3"/>
      <c r="EY231" s="3"/>
      <c r="EZ231" s="3"/>
      <c r="FA231" s="3"/>
      <c r="FB231" s="3"/>
      <c r="FC231" s="3"/>
      <c r="FD231" s="3"/>
      <c r="FE231" s="3"/>
      <c r="FF231" s="3"/>
      <c r="FG231" s="3"/>
      <c r="FH231" s="3"/>
      <c r="FI231" s="3"/>
      <c r="FJ231" s="3"/>
      <c r="FK231" s="3"/>
      <c r="FL231" s="3"/>
      <c r="FM231" s="3"/>
      <c r="FN231" s="3"/>
      <c r="FO231" s="3"/>
      <c r="FP231" s="3"/>
      <c r="FQ231" s="3"/>
      <c r="FR231" s="3"/>
      <c r="FS231" s="3"/>
      <c r="FT231" s="3"/>
      <c r="FU231" s="3"/>
      <c r="FV231" s="3"/>
      <c r="FW231" s="3"/>
      <c r="FX231" s="3"/>
      <c r="FY231" s="3"/>
      <c r="FZ231" s="3"/>
      <c r="GA231" s="3"/>
      <c r="GB231" s="3"/>
      <c r="GC231" s="3"/>
      <c r="GD231" s="3"/>
      <c r="GE231" s="3"/>
      <c r="GF231" s="3"/>
      <c r="GG231" s="3"/>
      <c r="GH231" s="3"/>
      <c r="GI231" s="3"/>
      <c r="GJ231" s="3"/>
      <c r="GK231" s="3"/>
      <c r="GL231" s="3"/>
      <c r="GM231" s="3"/>
      <c r="GN231" s="3"/>
      <c r="GO231" s="3"/>
      <c r="GP231" s="3"/>
      <c r="GQ231" s="3"/>
      <c r="GR231" s="3"/>
      <c r="GS231" s="3"/>
      <c r="GT231" s="3"/>
      <c r="GU231" s="3"/>
      <c r="GV231" s="3"/>
      <c r="GW231" s="3"/>
      <c r="GX231" s="3">
        <v>0</v>
      </c>
    </row>
    <row r="233" spans="1:206" x14ac:dyDescent="0.2">
      <c r="A233" s="4">
        <v>50</v>
      </c>
      <c r="B233" s="4">
        <v>0</v>
      </c>
      <c r="C233" s="4">
        <v>0</v>
      </c>
      <c r="D233" s="4">
        <v>1</v>
      </c>
      <c r="E233" s="4">
        <v>201</v>
      </c>
      <c r="F233" s="4">
        <f>ROUND(Source!O231,O233)</f>
        <v>554142.57999999996</v>
      </c>
      <c r="G233" s="4" t="s">
        <v>98</v>
      </c>
      <c r="H233" s="4" t="s">
        <v>99</v>
      </c>
      <c r="I233" s="4"/>
      <c r="J233" s="4"/>
      <c r="K233" s="4">
        <v>201</v>
      </c>
      <c r="L233" s="4">
        <v>1</v>
      </c>
      <c r="M233" s="4">
        <v>3</v>
      </c>
      <c r="N233" s="4" t="s">
        <v>3</v>
      </c>
      <c r="O233" s="4">
        <v>2</v>
      </c>
      <c r="P233" s="4"/>
      <c r="Q233" s="4"/>
      <c r="R233" s="4"/>
      <c r="S233" s="4"/>
      <c r="T233" s="4"/>
      <c r="U233" s="4"/>
      <c r="V233" s="4"/>
      <c r="W233" s="4">
        <v>356420.82</v>
      </c>
      <c r="X233" s="4">
        <v>1</v>
      </c>
      <c r="Y233" s="4">
        <v>356420.82</v>
      </c>
      <c r="Z233" s="4"/>
      <c r="AA233" s="4"/>
      <c r="AB233" s="4"/>
    </row>
    <row r="234" spans="1:206" x14ac:dyDescent="0.2">
      <c r="A234" s="4">
        <v>50</v>
      </c>
      <c r="B234" s="4">
        <v>0</v>
      </c>
      <c r="C234" s="4">
        <v>0</v>
      </c>
      <c r="D234" s="4">
        <v>1</v>
      </c>
      <c r="E234" s="4">
        <v>202</v>
      </c>
      <c r="F234" s="4">
        <f>ROUND(Source!P231,O234)</f>
        <v>5237.04</v>
      </c>
      <c r="G234" s="4" t="s">
        <v>100</v>
      </c>
      <c r="H234" s="4" t="s">
        <v>101</v>
      </c>
      <c r="I234" s="4"/>
      <c r="J234" s="4"/>
      <c r="K234" s="4">
        <v>202</v>
      </c>
      <c r="L234" s="4">
        <v>2</v>
      </c>
      <c r="M234" s="4">
        <v>3</v>
      </c>
      <c r="N234" s="4" t="s">
        <v>3</v>
      </c>
      <c r="O234" s="4">
        <v>2</v>
      </c>
      <c r="P234" s="4"/>
      <c r="Q234" s="4"/>
      <c r="R234" s="4"/>
      <c r="S234" s="4"/>
      <c r="T234" s="4"/>
      <c r="U234" s="4"/>
      <c r="V234" s="4"/>
      <c r="W234" s="4">
        <v>3434.39</v>
      </c>
      <c r="X234" s="4">
        <v>1</v>
      </c>
      <c r="Y234" s="4">
        <v>3434.39</v>
      </c>
      <c r="Z234" s="4"/>
      <c r="AA234" s="4"/>
      <c r="AB234" s="4"/>
    </row>
    <row r="235" spans="1:206" x14ac:dyDescent="0.2">
      <c r="A235" s="4">
        <v>50</v>
      </c>
      <c r="B235" s="4">
        <v>0</v>
      </c>
      <c r="C235" s="4">
        <v>0</v>
      </c>
      <c r="D235" s="4">
        <v>1</v>
      </c>
      <c r="E235" s="4">
        <v>222</v>
      </c>
      <c r="F235" s="4">
        <f>ROUND(Source!AO231,O235)</f>
        <v>0</v>
      </c>
      <c r="G235" s="4" t="s">
        <v>102</v>
      </c>
      <c r="H235" s="4" t="s">
        <v>103</v>
      </c>
      <c r="I235" s="4"/>
      <c r="J235" s="4"/>
      <c r="K235" s="4">
        <v>222</v>
      </c>
      <c r="L235" s="4">
        <v>3</v>
      </c>
      <c r="M235" s="4">
        <v>3</v>
      </c>
      <c r="N235" s="4" t="s">
        <v>3</v>
      </c>
      <c r="O235" s="4">
        <v>2</v>
      </c>
      <c r="P235" s="4"/>
      <c r="Q235" s="4"/>
      <c r="R235" s="4"/>
      <c r="S235" s="4"/>
      <c r="T235" s="4"/>
      <c r="U235" s="4"/>
      <c r="V235" s="4"/>
      <c r="W235" s="4">
        <v>0</v>
      </c>
      <c r="X235" s="4">
        <v>1</v>
      </c>
      <c r="Y235" s="4">
        <v>0</v>
      </c>
      <c r="Z235" s="4"/>
      <c r="AA235" s="4"/>
      <c r="AB235" s="4"/>
    </row>
    <row r="236" spans="1:206" x14ac:dyDescent="0.2">
      <c r="A236" s="4">
        <v>50</v>
      </c>
      <c r="B236" s="4">
        <v>0</v>
      </c>
      <c r="C236" s="4">
        <v>0</v>
      </c>
      <c r="D236" s="4">
        <v>1</v>
      </c>
      <c r="E236" s="4">
        <v>225</v>
      </c>
      <c r="F236" s="4">
        <f>ROUND(Source!AV231,O236)</f>
        <v>5237.04</v>
      </c>
      <c r="G236" s="4" t="s">
        <v>104</v>
      </c>
      <c r="H236" s="4" t="s">
        <v>105</v>
      </c>
      <c r="I236" s="4"/>
      <c r="J236" s="4"/>
      <c r="K236" s="4">
        <v>225</v>
      </c>
      <c r="L236" s="4">
        <v>4</v>
      </c>
      <c r="M236" s="4">
        <v>3</v>
      </c>
      <c r="N236" s="4" t="s">
        <v>3</v>
      </c>
      <c r="O236" s="4">
        <v>2</v>
      </c>
      <c r="P236" s="4"/>
      <c r="Q236" s="4"/>
      <c r="R236" s="4"/>
      <c r="S236" s="4"/>
      <c r="T236" s="4"/>
      <c r="U236" s="4"/>
      <c r="V236" s="4"/>
      <c r="W236" s="4">
        <v>3434.39</v>
      </c>
      <c r="X236" s="4">
        <v>1</v>
      </c>
      <c r="Y236" s="4">
        <v>3434.39</v>
      </c>
      <c r="Z236" s="4"/>
      <c r="AA236" s="4"/>
      <c r="AB236" s="4"/>
    </row>
    <row r="237" spans="1:206" x14ac:dyDescent="0.2">
      <c r="A237" s="4">
        <v>50</v>
      </c>
      <c r="B237" s="4">
        <v>0</v>
      </c>
      <c r="C237" s="4">
        <v>0</v>
      </c>
      <c r="D237" s="4">
        <v>1</v>
      </c>
      <c r="E237" s="4">
        <v>226</v>
      </c>
      <c r="F237" s="4">
        <f>ROUND(Source!AW231,O237)</f>
        <v>5237.04</v>
      </c>
      <c r="G237" s="4" t="s">
        <v>106</v>
      </c>
      <c r="H237" s="4" t="s">
        <v>107</v>
      </c>
      <c r="I237" s="4"/>
      <c r="J237" s="4"/>
      <c r="K237" s="4">
        <v>226</v>
      </c>
      <c r="L237" s="4">
        <v>5</v>
      </c>
      <c r="M237" s="4">
        <v>3</v>
      </c>
      <c r="N237" s="4" t="s">
        <v>3</v>
      </c>
      <c r="O237" s="4">
        <v>2</v>
      </c>
      <c r="P237" s="4"/>
      <c r="Q237" s="4"/>
      <c r="R237" s="4"/>
      <c r="S237" s="4"/>
      <c r="T237" s="4"/>
      <c r="U237" s="4"/>
      <c r="V237" s="4"/>
      <c r="W237" s="4">
        <v>3434.39</v>
      </c>
      <c r="X237" s="4">
        <v>1</v>
      </c>
      <c r="Y237" s="4">
        <v>3434.39</v>
      </c>
      <c r="Z237" s="4"/>
      <c r="AA237" s="4"/>
      <c r="AB237" s="4"/>
    </row>
    <row r="238" spans="1:206" x14ac:dyDescent="0.2">
      <c r="A238" s="4">
        <v>50</v>
      </c>
      <c r="B238" s="4">
        <v>0</v>
      </c>
      <c r="C238" s="4">
        <v>0</v>
      </c>
      <c r="D238" s="4">
        <v>1</v>
      </c>
      <c r="E238" s="4">
        <v>227</v>
      </c>
      <c r="F238" s="4">
        <f>ROUND(Source!AX231,O238)</f>
        <v>0</v>
      </c>
      <c r="G238" s="4" t="s">
        <v>108</v>
      </c>
      <c r="H238" s="4" t="s">
        <v>109</v>
      </c>
      <c r="I238" s="4"/>
      <c r="J238" s="4"/>
      <c r="K238" s="4">
        <v>227</v>
      </c>
      <c r="L238" s="4">
        <v>6</v>
      </c>
      <c r="M238" s="4">
        <v>3</v>
      </c>
      <c r="N238" s="4" t="s">
        <v>3</v>
      </c>
      <c r="O238" s="4">
        <v>2</v>
      </c>
      <c r="P238" s="4"/>
      <c r="Q238" s="4"/>
      <c r="R238" s="4"/>
      <c r="S238" s="4"/>
      <c r="T238" s="4"/>
      <c r="U238" s="4"/>
      <c r="V238" s="4"/>
      <c r="W238" s="4">
        <v>0</v>
      </c>
      <c r="X238" s="4">
        <v>1</v>
      </c>
      <c r="Y238" s="4">
        <v>0</v>
      </c>
      <c r="Z238" s="4"/>
      <c r="AA238" s="4"/>
      <c r="AB238" s="4"/>
    </row>
    <row r="239" spans="1:206" x14ac:dyDescent="0.2">
      <c r="A239" s="4">
        <v>50</v>
      </c>
      <c r="B239" s="4">
        <v>0</v>
      </c>
      <c r="C239" s="4">
        <v>0</v>
      </c>
      <c r="D239" s="4">
        <v>1</v>
      </c>
      <c r="E239" s="4">
        <v>228</v>
      </c>
      <c r="F239" s="4">
        <f>ROUND(Source!AY231,O239)</f>
        <v>5237.04</v>
      </c>
      <c r="G239" s="4" t="s">
        <v>110</v>
      </c>
      <c r="H239" s="4" t="s">
        <v>111</v>
      </c>
      <c r="I239" s="4"/>
      <c r="J239" s="4"/>
      <c r="K239" s="4">
        <v>228</v>
      </c>
      <c r="L239" s="4">
        <v>7</v>
      </c>
      <c r="M239" s="4">
        <v>3</v>
      </c>
      <c r="N239" s="4" t="s">
        <v>3</v>
      </c>
      <c r="O239" s="4">
        <v>2</v>
      </c>
      <c r="P239" s="4"/>
      <c r="Q239" s="4"/>
      <c r="R239" s="4"/>
      <c r="S239" s="4"/>
      <c r="T239" s="4"/>
      <c r="U239" s="4"/>
      <c r="V239" s="4"/>
      <c r="W239" s="4">
        <v>3434.39</v>
      </c>
      <c r="X239" s="4">
        <v>1</v>
      </c>
      <c r="Y239" s="4">
        <v>3434.39</v>
      </c>
      <c r="Z239" s="4"/>
      <c r="AA239" s="4"/>
      <c r="AB239" s="4"/>
    </row>
    <row r="240" spans="1:206" x14ac:dyDescent="0.2">
      <c r="A240" s="4">
        <v>50</v>
      </c>
      <c r="B240" s="4">
        <v>0</v>
      </c>
      <c r="C240" s="4">
        <v>0</v>
      </c>
      <c r="D240" s="4">
        <v>1</v>
      </c>
      <c r="E240" s="4">
        <v>216</v>
      </c>
      <c r="F240" s="4">
        <f>ROUND(Source!AP231,O240)</f>
        <v>0</v>
      </c>
      <c r="G240" s="4" t="s">
        <v>112</v>
      </c>
      <c r="H240" s="4" t="s">
        <v>113</v>
      </c>
      <c r="I240" s="4"/>
      <c r="J240" s="4"/>
      <c r="K240" s="4">
        <v>216</v>
      </c>
      <c r="L240" s="4">
        <v>8</v>
      </c>
      <c r="M240" s="4">
        <v>3</v>
      </c>
      <c r="N240" s="4" t="s">
        <v>3</v>
      </c>
      <c r="O240" s="4">
        <v>2</v>
      </c>
      <c r="P240" s="4"/>
      <c r="Q240" s="4"/>
      <c r="R240" s="4"/>
      <c r="S240" s="4"/>
      <c r="T240" s="4"/>
      <c r="U240" s="4"/>
      <c r="V240" s="4"/>
      <c r="W240" s="4">
        <v>0</v>
      </c>
      <c r="X240" s="4">
        <v>1</v>
      </c>
      <c r="Y240" s="4">
        <v>0</v>
      </c>
      <c r="Z240" s="4"/>
      <c r="AA240" s="4"/>
      <c r="AB240" s="4"/>
    </row>
    <row r="241" spans="1:28" x14ac:dyDescent="0.2">
      <c r="A241" s="4">
        <v>50</v>
      </c>
      <c r="B241" s="4">
        <v>0</v>
      </c>
      <c r="C241" s="4">
        <v>0</v>
      </c>
      <c r="D241" s="4">
        <v>1</v>
      </c>
      <c r="E241" s="4">
        <v>223</v>
      </c>
      <c r="F241" s="4">
        <f>ROUND(Source!AQ231,O241)</f>
        <v>0</v>
      </c>
      <c r="G241" s="4" t="s">
        <v>114</v>
      </c>
      <c r="H241" s="4" t="s">
        <v>115</v>
      </c>
      <c r="I241" s="4"/>
      <c r="J241" s="4"/>
      <c r="K241" s="4">
        <v>223</v>
      </c>
      <c r="L241" s="4">
        <v>9</v>
      </c>
      <c r="M241" s="4">
        <v>3</v>
      </c>
      <c r="N241" s="4" t="s">
        <v>3</v>
      </c>
      <c r="O241" s="4">
        <v>2</v>
      </c>
      <c r="P241" s="4"/>
      <c r="Q241" s="4"/>
      <c r="R241" s="4"/>
      <c r="S241" s="4"/>
      <c r="T241" s="4"/>
      <c r="U241" s="4"/>
      <c r="V241" s="4"/>
      <c r="W241" s="4">
        <v>0</v>
      </c>
      <c r="X241" s="4">
        <v>1</v>
      </c>
      <c r="Y241" s="4">
        <v>0</v>
      </c>
      <c r="Z241" s="4"/>
      <c r="AA241" s="4"/>
      <c r="AB241" s="4"/>
    </row>
    <row r="242" spans="1:28" x14ac:dyDescent="0.2">
      <c r="A242" s="4">
        <v>50</v>
      </c>
      <c r="B242" s="4">
        <v>0</v>
      </c>
      <c r="C242" s="4">
        <v>0</v>
      </c>
      <c r="D242" s="4">
        <v>1</v>
      </c>
      <c r="E242" s="4">
        <v>229</v>
      </c>
      <c r="F242" s="4">
        <f>ROUND(Source!AZ231,O242)</f>
        <v>0</v>
      </c>
      <c r="G242" s="4" t="s">
        <v>116</v>
      </c>
      <c r="H242" s="4" t="s">
        <v>117</v>
      </c>
      <c r="I242" s="4"/>
      <c r="J242" s="4"/>
      <c r="K242" s="4">
        <v>229</v>
      </c>
      <c r="L242" s="4">
        <v>10</v>
      </c>
      <c r="M242" s="4">
        <v>3</v>
      </c>
      <c r="N242" s="4" t="s">
        <v>3</v>
      </c>
      <c r="O242" s="4">
        <v>2</v>
      </c>
      <c r="P242" s="4"/>
      <c r="Q242" s="4"/>
      <c r="R242" s="4"/>
      <c r="S242" s="4"/>
      <c r="T242" s="4"/>
      <c r="U242" s="4"/>
      <c r="V242" s="4"/>
      <c r="W242" s="4">
        <v>0</v>
      </c>
      <c r="X242" s="4">
        <v>1</v>
      </c>
      <c r="Y242" s="4">
        <v>0</v>
      </c>
      <c r="Z242" s="4"/>
      <c r="AA242" s="4"/>
      <c r="AB242" s="4"/>
    </row>
    <row r="243" spans="1:28" x14ac:dyDescent="0.2">
      <c r="A243" s="4">
        <v>50</v>
      </c>
      <c r="B243" s="4">
        <v>0</v>
      </c>
      <c r="C243" s="4">
        <v>0</v>
      </c>
      <c r="D243" s="4">
        <v>1</v>
      </c>
      <c r="E243" s="4">
        <v>203</v>
      </c>
      <c r="F243" s="4">
        <f>ROUND(Source!Q231,O243)</f>
        <v>29024.28</v>
      </c>
      <c r="G243" s="4" t="s">
        <v>118</v>
      </c>
      <c r="H243" s="4" t="s">
        <v>119</v>
      </c>
      <c r="I243" s="4"/>
      <c r="J243" s="4"/>
      <c r="K243" s="4">
        <v>203</v>
      </c>
      <c r="L243" s="4">
        <v>11</v>
      </c>
      <c r="M243" s="4">
        <v>3</v>
      </c>
      <c r="N243" s="4" t="s">
        <v>3</v>
      </c>
      <c r="O243" s="4">
        <v>2</v>
      </c>
      <c r="P243" s="4"/>
      <c r="Q243" s="4"/>
      <c r="R243" s="4"/>
      <c r="S243" s="4"/>
      <c r="T243" s="4"/>
      <c r="U243" s="4"/>
      <c r="V243" s="4"/>
      <c r="W243" s="4">
        <v>6936.16</v>
      </c>
      <c r="X243" s="4">
        <v>1</v>
      </c>
      <c r="Y243" s="4">
        <v>6936.16</v>
      </c>
      <c r="Z243" s="4"/>
      <c r="AA243" s="4"/>
      <c r="AB243" s="4"/>
    </row>
    <row r="244" spans="1:28" x14ac:dyDescent="0.2">
      <c r="A244" s="4">
        <v>50</v>
      </c>
      <c r="B244" s="4">
        <v>0</v>
      </c>
      <c r="C244" s="4">
        <v>0</v>
      </c>
      <c r="D244" s="4">
        <v>1</v>
      </c>
      <c r="E244" s="4">
        <v>231</v>
      </c>
      <c r="F244" s="4">
        <f>ROUND(Source!BB231,O244)</f>
        <v>0</v>
      </c>
      <c r="G244" s="4" t="s">
        <v>120</v>
      </c>
      <c r="H244" s="4" t="s">
        <v>121</v>
      </c>
      <c r="I244" s="4"/>
      <c r="J244" s="4"/>
      <c r="K244" s="4">
        <v>231</v>
      </c>
      <c r="L244" s="4">
        <v>12</v>
      </c>
      <c r="M244" s="4">
        <v>3</v>
      </c>
      <c r="N244" s="4" t="s">
        <v>3</v>
      </c>
      <c r="O244" s="4">
        <v>2</v>
      </c>
      <c r="P244" s="4"/>
      <c r="Q244" s="4"/>
      <c r="R244" s="4"/>
      <c r="S244" s="4"/>
      <c r="T244" s="4"/>
      <c r="U244" s="4"/>
      <c r="V244" s="4"/>
      <c r="W244" s="4">
        <v>0</v>
      </c>
      <c r="X244" s="4">
        <v>1</v>
      </c>
      <c r="Y244" s="4">
        <v>0</v>
      </c>
      <c r="Z244" s="4"/>
      <c r="AA244" s="4"/>
      <c r="AB244" s="4"/>
    </row>
    <row r="245" spans="1:28" x14ac:dyDescent="0.2">
      <c r="A245" s="4">
        <v>50</v>
      </c>
      <c r="B245" s="4">
        <v>0</v>
      </c>
      <c r="C245" s="4">
        <v>0</v>
      </c>
      <c r="D245" s="4">
        <v>1</v>
      </c>
      <c r="E245" s="4">
        <v>204</v>
      </c>
      <c r="F245" s="4">
        <f>ROUND(Source!R231,O245)</f>
        <v>18266.34</v>
      </c>
      <c r="G245" s="4" t="s">
        <v>122</v>
      </c>
      <c r="H245" s="4" t="s">
        <v>123</v>
      </c>
      <c r="I245" s="4"/>
      <c r="J245" s="4"/>
      <c r="K245" s="4">
        <v>204</v>
      </c>
      <c r="L245" s="4">
        <v>13</v>
      </c>
      <c r="M245" s="4">
        <v>3</v>
      </c>
      <c r="N245" s="4" t="s">
        <v>3</v>
      </c>
      <c r="O245" s="4">
        <v>2</v>
      </c>
      <c r="P245" s="4"/>
      <c r="Q245" s="4"/>
      <c r="R245" s="4"/>
      <c r="S245" s="4"/>
      <c r="T245" s="4"/>
      <c r="U245" s="4"/>
      <c r="V245" s="4"/>
      <c r="W245" s="4">
        <v>4349.9799999999996</v>
      </c>
      <c r="X245" s="4">
        <v>1</v>
      </c>
      <c r="Y245" s="4">
        <v>4349.9799999999996</v>
      </c>
      <c r="Z245" s="4"/>
      <c r="AA245" s="4"/>
      <c r="AB245" s="4"/>
    </row>
    <row r="246" spans="1:28" x14ac:dyDescent="0.2">
      <c r="A246" s="4">
        <v>50</v>
      </c>
      <c r="B246" s="4">
        <v>0</v>
      </c>
      <c r="C246" s="4">
        <v>0</v>
      </c>
      <c r="D246" s="4">
        <v>1</v>
      </c>
      <c r="E246" s="4">
        <v>205</v>
      </c>
      <c r="F246" s="4">
        <f>ROUND(Source!S231,O246)</f>
        <v>519881.26</v>
      </c>
      <c r="G246" s="4" t="s">
        <v>124</v>
      </c>
      <c r="H246" s="4" t="s">
        <v>125</v>
      </c>
      <c r="I246" s="4"/>
      <c r="J246" s="4"/>
      <c r="K246" s="4">
        <v>205</v>
      </c>
      <c r="L246" s="4">
        <v>14</v>
      </c>
      <c r="M246" s="4">
        <v>3</v>
      </c>
      <c r="N246" s="4" t="s">
        <v>3</v>
      </c>
      <c r="O246" s="4">
        <v>2</v>
      </c>
      <c r="P246" s="4"/>
      <c r="Q246" s="4"/>
      <c r="R246" s="4"/>
      <c r="S246" s="4"/>
      <c r="T246" s="4"/>
      <c r="U246" s="4"/>
      <c r="V246" s="4"/>
      <c r="W246" s="4">
        <v>346050.27</v>
      </c>
      <c r="X246" s="4">
        <v>1</v>
      </c>
      <c r="Y246" s="4">
        <v>346050.27</v>
      </c>
      <c r="Z246" s="4"/>
      <c r="AA246" s="4"/>
      <c r="AB246" s="4"/>
    </row>
    <row r="247" spans="1:28" x14ac:dyDescent="0.2">
      <c r="A247" s="4">
        <v>50</v>
      </c>
      <c r="B247" s="4">
        <v>0</v>
      </c>
      <c r="C247" s="4">
        <v>0</v>
      </c>
      <c r="D247" s="4">
        <v>1</v>
      </c>
      <c r="E247" s="4">
        <v>232</v>
      </c>
      <c r="F247" s="4">
        <f>ROUND(Source!BC231,O247)</f>
        <v>0</v>
      </c>
      <c r="G247" s="4" t="s">
        <v>126</v>
      </c>
      <c r="H247" s="4" t="s">
        <v>127</v>
      </c>
      <c r="I247" s="4"/>
      <c r="J247" s="4"/>
      <c r="K247" s="4">
        <v>232</v>
      </c>
      <c r="L247" s="4">
        <v>15</v>
      </c>
      <c r="M247" s="4">
        <v>3</v>
      </c>
      <c r="N247" s="4" t="s">
        <v>3</v>
      </c>
      <c r="O247" s="4">
        <v>2</v>
      </c>
      <c r="P247" s="4"/>
      <c r="Q247" s="4"/>
      <c r="R247" s="4"/>
      <c r="S247" s="4"/>
      <c r="T247" s="4"/>
      <c r="U247" s="4"/>
      <c r="V247" s="4"/>
      <c r="W247" s="4">
        <v>0</v>
      </c>
      <c r="X247" s="4">
        <v>1</v>
      </c>
      <c r="Y247" s="4">
        <v>0</v>
      </c>
      <c r="Z247" s="4"/>
      <c r="AA247" s="4"/>
      <c r="AB247" s="4"/>
    </row>
    <row r="248" spans="1:28" x14ac:dyDescent="0.2">
      <c r="A248" s="4">
        <v>50</v>
      </c>
      <c r="B248" s="4">
        <v>0</v>
      </c>
      <c r="C248" s="4">
        <v>0</v>
      </c>
      <c r="D248" s="4">
        <v>1</v>
      </c>
      <c r="E248" s="4">
        <v>214</v>
      </c>
      <c r="F248" s="4">
        <f>ROUND(Source!AS231,O248)</f>
        <v>0</v>
      </c>
      <c r="G248" s="4" t="s">
        <v>128</v>
      </c>
      <c r="H248" s="4" t="s">
        <v>129</v>
      </c>
      <c r="I248" s="4"/>
      <c r="J248" s="4"/>
      <c r="K248" s="4">
        <v>214</v>
      </c>
      <c r="L248" s="4">
        <v>16</v>
      </c>
      <c r="M248" s="4">
        <v>3</v>
      </c>
      <c r="N248" s="4" t="s">
        <v>3</v>
      </c>
      <c r="O248" s="4">
        <v>2</v>
      </c>
      <c r="P248" s="4"/>
      <c r="Q248" s="4"/>
      <c r="R248" s="4"/>
      <c r="S248" s="4"/>
      <c r="T248" s="4"/>
      <c r="U248" s="4"/>
      <c r="V248" s="4"/>
      <c r="W248" s="4">
        <v>0</v>
      </c>
      <c r="X248" s="4">
        <v>1</v>
      </c>
      <c r="Y248" s="4">
        <v>0</v>
      </c>
      <c r="Z248" s="4"/>
      <c r="AA248" s="4"/>
      <c r="AB248" s="4"/>
    </row>
    <row r="249" spans="1:28" x14ac:dyDescent="0.2">
      <c r="A249" s="4">
        <v>50</v>
      </c>
      <c r="B249" s="4">
        <v>0</v>
      </c>
      <c r="C249" s="4">
        <v>0</v>
      </c>
      <c r="D249" s="4">
        <v>1</v>
      </c>
      <c r="E249" s="4">
        <v>215</v>
      </c>
      <c r="F249" s="4">
        <f>ROUND(Source!AT231,O249)</f>
        <v>0</v>
      </c>
      <c r="G249" s="4" t="s">
        <v>130</v>
      </c>
      <c r="H249" s="4" t="s">
        <v>131</v>
      </c>
      <c r="I249" s="4"/>
      <c r="J249" s="4"/>
      <c r="K249" s="4">
        <v>215</v>
      </c>
      <c r="L249" s="4">
        <v>17</v>
      </c>
      <c r="M249" s="4">
        <v>3</v>
      </c>
      <c r="N249" s="4" t="s">
        <v>3</v>
      </c>
      <c r="O249" s="4">
        <v>2</v>
      </c>
      <c r="P249" s="4"/>
      <c r="Q249" s="4"/>
      <c r="R249" s="4"/>
      <c r="S249" s="4"/>
      <c r="T249" s="4"/>
      <c r="U249" s="4"/>
      <c r="V249" s="4"/>
      <c r="W249" s="4">
        <v>0</v>
      </c>
      <c r="X249" s="4">
        <v>1</v>
      </c>
      <c r="Y249" s="4">
        <v>0</v>
      </c>
      <c r="Z249" s="4"/>
      <c r="AA249" s="4"/>
      <c r="AB249" s="4"/>
    </row>
    <row r="250" spans="1:28" x14ac:dyDescent="0.2">
      <c r="A250" s="4">
        <v>50</v>
      </c>
      <c r="B250" s="4">
        <v>0</v>
      </c>
      <c r="C250" s="4">
        <v>0</v>
      </c>
      <c r="D250" s="4">
        <v>1</v>
      </c>
      <c r="E250" s="4">
        <v>217</v>
      </c>
      <c r="F250" s="4">
        <f>ROUND(Source!AU231,O250)</f>
        <v>989775.24</v>
      </c>
      <c r="G250" s="4" t="s">
        <v>132</v>
      </c>
      <c r="H250" s="4" t="s">
        <v>133</v>
      </c>
      <c r="I250" s="4"/>
      <c r="J250" s="4"/>
      <c r="K250" s="4">
        <v>217</v>
      </c>
      <c r="L250" s="4">
        <v>18</v>
      </c>
      <c r="M250" s="4">
        <v>3</v>
      </c>
      <c r="N250" s="4" t="s">
        <v>3</v>
      </c>
      <c r="O250" s="4">
        <v>2</v>
      </c>
      <c r="P250" s="4"/>
      <c r="Q250" s="4"/>
      <c r="R250" s="4"/>
      <c r="S250" s="4"/>
      <c r="T250" s="4"/>
      <c r="U250" s="4"/>
      <c r="V250" s="4"/>
      <c r="W250" s="4">
        <v>637959.02</v>
      </c>
      <c r="X250" s="4">
        <v>1</v>
      </c>
      <c r="Y250" s="4">
        <v>637959.02</v>
      </c>
      <c r="Z250" s="4"/>
      <c r="AA250" s="4"/>
      <c r="AB250" s="4"/>
    </row>
    <row r="251" spans="1:28" x14ac:dyDescent="0.2">
      <c r="A251" s="4">
        <v>50</v>
      </c>
      <c r="B251" s="4">
        <v>0</v>
      </c>
      <c r="C251" s="4">
        <v>0</v>
      </c>
      <c r="D251" s="4">
        <v>1</v>
      </c>
      <c r="E251" s="4">
        <v>230</v>
      </c>
      <c r="F251" s="4">
        <f>ROUND(Source!BA231,O251)</f>
        <v>0</v>
      </c>
      <c r="G251" s="4" t="s">
        <v>134</v>
      </c>
      <c r="H251" s="4" t="s">
        <v>135</v>
      </c>
      <c r="I251" s="4"/>
      <c r="J251" s="4"/>
      <c r="K251" s="4">
        <v>230</v>
      </c>
      <c r="L251" s="4">
        <v>19</v>
      </c>
      <c r="M251" s="4">
        <v>3</v>
      </c>
      <c r="N251" s="4" t="s">
        <v>3</v>
      </c>
      <c r="O251" s="4">
        <v>2</v>
      </c>
      <c r="P251" s="4"/>
      <c r="Q251" s="4"/>
      <c r="R251" s="4"/>
      <c r="S251" s="4"/>
      <c r="T251" s="4"/>
      <c r="U251" s="4"/>
      <c r="V251" s="4"/>
      <c r="W251" s="4">
        <v>0</v>
      </c>
      <c r="X251" s="4">
        <v>1</v>
      </c>
      <c r="Y251" s="4">
        <v>0</v>
      </c>
      <c r="Z251" s="4"/>
      <c r="AA251" s="4"/>
      <c r="AB251" s="4"/>
    </row>
    <row r="252" spans="1:28" x14ac:dyDescent="0.2">
      <c r="A252" s="4">
        <v>50</v>
      </c>
      <c r="B252" s="4">
        <v>0</v>
      </c>
      <c r="C252" s="4">
        <v>0</v>
      </c>
      <c r="D252" s="4">
        <v>1</v>
      </c>
      <c r="E252" s="4">
        <v>206</v>
      </c>
      <c r="F252" s="4">
        <f>ROUND(Source!T231,O252)</f>
        <v>0</v>
      </c>
      <c r="G252" s="4" t="s">
        <v>136</v>
      </c>
      <c r="H252" s="4" t="s">
        <v>137</v>
      </c>
      <c r="I252" s="4"/>
      <c r="J252" s="4"/>
      <c r="K252" s="4">
        <v>206</v>
      </c>
      <c r="L252" s="4">
        <v>20</v>
      </c>
      <c r="M252" s="4">
        <v>3</v>
      </c>
      <c r="N252" s="4" t="s">
        <v>3</v>
      </c>
      <c r="O252" s="4">
        <v>2</v>
      </c>
      <c r="P252" s="4"/>
      <c r="Q252" s="4"/>
      <c r="R252" s="4"/>
      <c r="S252" s="4"/>
      <c r="T252" s="4"/>
      <c r="U252" s="4"/>
      <c r="V252" s="4"/>
      <c r="W252" s="4">
        <v>0</v>
      </c>
      <c r="X252" s="4">
        <v>1</v>
      </c>
      <c r="Y252" s="4">
        <v>0</v>
      </c>
      <c r="Z252" s="4"/>
      <c r="AA252" s="4"/>
      <c r="AB252" s="4"/>
    </row>
    <row r="253" spans="1:28" x14ac:dyDescent="0.2">
      <c r="A253" s="4">
        <v>50</v>
      </c>
      <c r="B253" s="4">
        <v>0</v>
      </c>
      <c r="C253" s="4">
        <v>0</v>
      </c>
      <c r="D253" s="4">
        <v>1</v>
      </c>
      <c r="E253" s="4">
        <v>207</v>
      </c>
      <c r="F253" s="4">
        <f>Source!U231</f>
        <v>903.74289999999996</v>
      </c>
      <c r="G253" s="4" t="s">
        <v>138</v>
      </c>
      <c r="H253" s="4" t="s">
        <v>139</v>
      </c>
      <c r="I253" s="4"/>
      <c r="J253" s="4"/>
      <c r="K253" s="4">
        <v>207</v>
      </c>
      <c r="L253" s="4">
        <v>21</v>
      </c>
      <c r="M253" s="4">
        <v>3</v>
      </c>
      <c r="N253" s="4" t="s">
        <v>3</v>
      </c>
      <c r="O253" s="4">
        <v>-1</v>
      </c>
      <c r="P253" s="4"/>
      <c r="Q253" s="4"/>
      <c r="R253" s="4"/>
      <c r="S253" s="4"/>
      <c r="T253" s="4"/>
      <c r="U253" s="4"/>
      <c r="V253" s="4"/>
      <c r="W253" s="4">
        <v>573.83500000000015</v>
      </c>
      <c r="X253" s="4">
        <v>1</v>
      </c>
      <c r="Y253" s="4">
        <v>573.83500000000015</v>
      </c>
      <c r="Z253" s="4"/>
      <c r="AA253" s="4"/>
      <c r="AB253" s="4"/>
    </row>
    <row r="254" spans="1:28" x14ac:dyDescent="0.2">
      <c r="A254" s="4">
        <v>50</v>
      </c>
      <c r="B254" s="4">
        <v>0</v>
      </c>
      <c r="C254" s="4">
        <v>0</v>
      </c>
      <c r="D254" s="4">
        <v>1</v>
      </c>
      <c r="E254" s="4">
        <v>208</v>
      </c>
      <c r="F254" s="4">
        <f>Source!V231</f>
        <v>0</v>
      </c>
      <c r="G254" s="4" t="s">
        <v>140</v>
      </c>
      <c r="H254" s="4" t="s">
        <v>141</v>
      </c>
      <c r="I254" s="4"/>
      <c r="J254" s="4"/>
      <c r="K254" s="4">
        <v>208</v>
      </c>
      <c r="L254" s="4">
        <v>22</v>
      </c>
      <c r="M254" s="4">
        <v>3</v>
      </c>
      <c r="N254" s="4" t="s">
        <v>3</v>
      </c>
      <c r="O254" s="4">
        <v>-1</v>
      </c>
      <c r="P254" s="4"/>
      <c r="Q254" s="4"/>
      <c r="R254" s="4"/>
      <c r="S254" s="4"/>
      <c r="T254" s="4"/>
      <c r="U254" s="4"/>
      <c r="V254" s="4"/>
      <c r="W254" s="4">
        <v>0</v>
      </c>
      <c r="X254" s="4">
        <v>1</v>
      </c>
      <c r="Y254" s="4">
        <v>0</v>
      </c>
      <c r="Z254" s="4"/>
      <c r="AA254" s="4"/>
      <c r="AB254" s="4"/>
    </row>
    <row r="255" spans="1:28" x14ac:dyDescent="0.2">
      <c r="A255" s="4">
        <v>50</v>
      </c>
      <c r="B255" s="4">
        <v>0</v>
      </c>
      <c r="C255" s="4">
        <v>0</v>
      </c>
      <c r="D255" s="4">
        <v>1</v>
      </c>
      <c r="E255" s="4">
        <v>209</v>
      </c>
      <c r="F255" s="4">
        <f>ROUND(Source!W231,O255)</f>
        <v>0</v>
      </c>
      <c r="G255" s="4" t="s">
        <v>142</v>
      </c>
      <c r="H255" s="4" t="s">
        <v>143</v>
      </c>
      <c r="I255" s="4"/>
      <c r="J255" s="4"/>
      <c r="K255" s="4">
        <v>209</v>
      </c>
      <c r="L255" s="4">
        <v>23</v>
      </c>
      <c r="M255" s="4">
        <v>3</v>
      </c>
      <c r="N255" s="4" t="s">
        <v>3</v>
      </c>
      <c r="O255" s="4">
        <v>2</v>
      </c>
      <c r="P255" s="4"/>
      <c r="Q255" s="4"/>
      <c r="R255" s="4"/>
      <c r="S255" s="4"/>
      <c r="T255" s="4"/>
      <c r="U255" s="4"/>
      <c r="V255" s="4"/>
      <c r="W255" s="4">
        <v>0</v>
      </c>
      <c r="X255" s="4">
        <v>1</v>
      </c>
      <c r="Y255" s="4">
        <v>0</v>
      </c>
      <c r="Z255" s="4"/>
      <c r="AA255" s="4"/>
      <c r="AB255" s="4"/>
    </row>
    <row r="256" spans="1:28" x14ac:dyDescent="0.2">
      <c r="A256" s="4">
        <v>50</v>
      </c>
      <c r="B256" s="4">
        <v>0</v>
      </c>
      <c r="C256" s="4">
        <v>0</v>
      </c>
      <c r="D256" s="4">
        <v>1</v>
      </c>
      <c r="E256" s="4">
        <v>233</v>
      </c>
      <c r="F256" s="4">
        <f>ROUND(Source!BD231,O256)</f>
        <v>0</v>
      </c>
      <c r="G256" s="4" t="s">
        <v>144</v>
      </c>
      <c r="H256" s="4" t="s">
        <v>145</v>
      </c>
      <c r="I256" s="4"/>
      <c r="J256" s="4"/>
      <c r="K256" s="4">
        <v>233</v>
      </c>
      <c r="L256" s="4">
        <v>24</v>
      </c>
      <c r="M256" s="4">
        <v>3</v>
      </c>
      <c r="N256" s="4" t="s">
        <v>3</v>
      </c>
      <c r="O256" s="4">
        <v>2</v>
      </c>
      <c r="P256" s="4"/>
      <c r="Q256" s="4"/>
      <c r="R256" s="4"/>
      <c r="S256" s="4"/>
      <c r="T256" s="4"/>
      <c r="U256" s="4"/>
      <c r="V256" s="4"/>
      <c r="W256" s="4">
        <v>0</v>
      </c>
      <c r="X256" s="4">
        <v>1</v>
      </c>
      <c r="Y256" s="4">
        <v>0</v>
      </c>
      <c r="Z256" s="4"/>
      <c r="AA256" s="4"/>
      <c r="AB256" s="4"/>
    </row>
    <row r="257" spans="1:245" x14ac:dyDescent="0.2">
      <c r="A257" s="4">
        <v>50</v>
      </c>
      <c r="B257" s="4">
        <v>0</v>
      </c>
      <c r="C257" s="4">
        <v>0</v>
      </c>
      <c r="D257" s="4">
        <v>1</v>
      </c>
      <c r="E257" s="4">
        <v>210</v>
      </c>
      <c r="F257" s="4">
        <f>ROUND(Source!X231,O257)</f>
        <v>363916.89</v>
      </c>
      <c r="G257" s="4" t="s">
        <v>146</v>
      </c>
      <c r="H257" s="4" t="s">
        <v>147</v>
      </c>
      <c r="I257" s="4"/>
      <c r="J257" s="4"/>
      <c r="K257" s="4">
        <v>210</v>
      </c>
      <c r="L257" s="4">
        <v>25</v>
      </c>
      <c r="M257" s="4">
        <v>3</v>
      </c>
      <c r="N257" s="4" t="s">
        <v>3</v>
      </c>
      <c r="O257" s="4">
        <v>2</v>
      </c>
      <c r="P257" s="4"/>
      <c r="Q257" s="4"/>
      <c r="R257" s="4"/>
      <c r="S257" s="4"/>
      <c r="T257" s="4"/>
      <c r="U257" s="4"/>
      <c r="V257" s="4"/>
      <c r="W257" s="4">
        <v>242235.2</v>
      </c>
      <c r="X257" s="4">
        <v>1</v>
      </c>
      <c r="Y257" s="4">
        <v>242235.2</v>
      </c>
      <c r="Z257" s="4"/>
      <c r="AA257" s="4"/>
      <c r="AB257" s="4"/>
    </row>
    <row r="258" spans="1:245" x14ac:dyDescent="0.2">
      <c r="A258" s="4">
        <v>50</v>
      </c>
      <c r="B258" s="4">
        <v>0</v>
      </c>
      <c r="C258" s="4">
        <v>0</v>
      </c>
      <c r="D258" s="4">
        <v>1</v>
      </c>
      <c r="E258" s="4">
        <v>211</v>
      </c>
      <c r="F258" s="4">
        <f>ROUND(Source!Y231,O258)</f>
        <v>51988.12</v>
      </c>
      <c r="G258" s="4" t="s">
        <v>148</v>
      </c>
      <c r="H258" s="4" t="s">
        <v>149</v>
      </c>
      <c r="I258" s="4"/>
      <c r="J258" s="4"/>
      <c r="K258" s="4">
        <v>211</v>
      </c>
      <c r="L258" s="4">
        <v>26</v>
      </c>
      <c r="M258" s="4">
        <v>3</v>
      </c>
      <c r="N258" s="4" t="s">
        <v>3</v>
      </c>
      <c r="O258" s="4">
        <v>2</v>
      </c>
      <c r="P258" s="4"/>
      <c r="Q258" s="4"/>
      <c r="R258" s="4"/>
      <c r="S258" s="4"/>
      <c r="T258" s="4"/>
      <c r="U258" s="4"/>
      <c r="V258" s="4"/>
      <c r="W258" s="4">
        <v>34605.019999999997</v>
      </c>
      <c r="X258" s="4">
        <v>1</v>
      </c>
      <c r="Y258" s="4">
        <v>34605.019999999997</v>
      </c>
      <c r="Z258" s="4"/>
      <c r="AA258" s="4"/>
      <c r="AB258" s="4"/>
    </row>
    <row r="259" spans="1:245" x14ac:dyDescent="0.2">
      <c r="A259" s="4">
        <v>50</v>
      </c>
      <c r="B259" s="4">
        <v>0</v>
      </c>
      <c r="C259" s="4">
        <v>0</v>
      </c>
      <c r="D259" s="4">
        <v>1</v>
      </c>
      <c r="E259" s="4">
        <v>224</v>
      </c>
      <c r="F259" s="4">
        <f>ROUND(Source!AR231,O259)</f>
        <v>989775.24</v>
      </c>
      <c r="G259" s="4" t="s">
        <v>150</v>
      </c>
      <c r="H259" s="4" t="s">
        <v>151</v>
      </c>
      <c r="I259" s="4"/>
      <c r="J259" s="4"/>
      <c r="K259" s="4">
        <v>224</v>
      </c>
      <c r="L259" s="4">
        <v>27</v>
      </c>
      <c r="M259" s="4">
        <v>3</v>
      </c>
      <c r="N259" s="4" t="s">
        <v>3</v>
      </c>
      <c r="O259" s="4">
        <v>2</v>
      </c>
      <c r="P259" s="4"/>
      <c r="Q259" s="4"/>
      <c r="R259" s="4"/>
      <c r="S259" s="4"/>
      <c r="T259" s="4"/>
      <c r="U259" s="4"/>
      <c r="V259" s="4"/>
      <c r="W259" s="4">
        <v>637959.02</v>
      </c>
      <c r="X259" s="4">
        <v>1</v>
      </c>
      <c r="Y259" s="4">
        <v>637959.02</v>
      </c>
      <c r="Z259" s="4"/>
      <c r="AA259" s="4"/>
      <c r="AB259" s="4"/>
    </row>
    <row r="261" spans="1:245" x14ac:dyDescent="0.2">
      <c r="A261" s="1">
        <v>4</v>
      </c>
      <c r="B261" s="1">
        <v>1</v>
      </c>
      <c r="C261" s="1"/>
      <c r="D261" s="1">
        <f>ROW(A473)</f>
        <v>473</v>
      </c>
      <c r="E261" s="1"/>
      <c r="F261" s="1" t="s">
        <v>12</v>
      </c>
      <c r="G261" s="1" t="s">
        <v>283</v>
      </c>
      <c r="H261" s="1" t="s">
        <v>3</v>
      </c>
      <c r="I261" s="1">
        <v>0</v>
      </c>
      <c r="J261" s="1"/>
      <c r="K261" s="1">
        <v>-1</v>
      </c>
      <c r="L261" s="1"/>
      <c r="M261" s="1" t="s">
        <v>3</v>
      </c>
      <c r="N261" s="1"/>
      <c r="O261" s="1"/>
      <c r="P261" s="1"/>
      <c r="Q261" s="1"/>
      <c r="R261" s="1"/>
      <c r="S261" s="1">
        <v>0</v>
      </c>
      <c r="T261" s="1"/>
      <c r="U261" s="1" t="s">
        <v>3</v>
      </c>
      <c r="V261" s="1">
        <v>0</v>
      </c>
      <c r="W261" s="1"/>
      <c r="X261" s="1"/>
      <c r="Y261" s="1"/>
      <c r="Z261" s="1"/>
      <c r="AA261" s="1"/>
      <c r="AB261" s="1" t="s">
        <v>3</v>
      </c>
      <c r="AC261" s="1" t="s">
        <v>3</v>
      </c>
      <c r="AD261" s="1" t="s">
        <v>3</v>
      </c>
      <c r="AE261" s="1" t="s">
        <v>3</v>
      </c>
      <c r="AF261" s="1" t="s">
        <v>3</v>
      </c>
      <c r="AG261" s="1" t="s">
        <v>3</v>
      </c>
      <c r="AH261" s="1"/>
      <c r="AI261" s="1"/>
      <c r="AJ261" s="1"/>
      <c r="AK261" s="1"/>
      <c r="AL261" s="1"/>
      <c r="AM261" s="1"/>
      <c r="AN261" s="1"/>
      <c r="AO261" s="1"/>
      <c r="AP261" s="1" t="s">
        <v>3</v>
      </c>
      <c r="AQ261" s="1" t="s">
        <v>3</v>
      </c>
      <c r="AR261" s="1" t="s">
        <v>3</v>
      </c>
      <c r="AS261" s="1"/>
      <c r="AT261" s="1"/>
      <c r="AU261" s="1"/>
      <c r="AV261" s="1"/>
      <c r="AW261" s="1"/>
      <c r="AX261" s="1"/>
      <c r="AY261" s="1"/>
      <c r="AZ261" s="1" t="s">
        <v>3</v>
      </c>
      <c r="BA261" s="1"/>
      <c r="BB261" s="1" t="s">
        <v>3</v>
      </c>
      <c r="BC261" s="1" t="s">
        <v>3</v>
      </c>
      <c r="BD261" s="1" t="s">
        <v>3</v>
      </c>
      <c r="BE261" s="1" t="s">
        <v>3</v>
      </c>
      <c r="BF261" s="1" t="s">
        <v>3</v>
      </c>
      <c r="BG261" s="1" t="s">
        <v>3</v>
      </c>
      <c r="BH261" s="1" t="s">
        <v>3</v>
      </c>
      <c r="BI261" s="1" t="s">
        <v>3</v>
      </c>
      <c r="BJ261" s="1" t="s">
        <v>3</v>
      </c>
      <c r="BK261" s="1" t="s">
        <v>3</v>
      </c>
      <c r="BL261" s="1" t="s">
        <v>3</v>
      </c>
      <c r="BM261" s="1" t="s">
        <v>3</v>
      </c>
      <c r="BN261" s="1" t="s">
        <v>3</v>
      </c>
      <c r="BO261" s="1" t="s">
        <v>3</v>
      </c>
      <c r="BP261" s="1" t="s">
        <v>3</v>
      </c>
      <c r="BQ261" s="1"/>
      <c r="BR261" s="1"/>
      <c r="BS261" s="1"/>
      <c r="BT261" s="1"/>
      <c r="BU261" s="1"/>
      <c r="BV261" s="1"/>
      <c r="BW261" s="1"/>
      <c r="BX261" s="1">
        <v>0</v>
      </c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>
        <v>0</v>
      </c>
    </row>
    <row r="263" spans="1:245" x14ac:dyDescent="0.2">
      <c r="A263" s="2">
        <v>52</v>
      </c>
      <c r="B263" s="2">
        <f t="shared" ref="B263:G263" si="236">B473</f>
        <v>1</v>
      </c>
      <c r="C263" s="2">
        <f t="shared" si="236"/>
        <v>4</v>
      </c>
      <c r="D263" s="2">
        <f t="shared" si="236"/>
        <v>261</v>
      </c>
      <c r="E263" s="2">
        <f t="shared" si="236"/>
        <v>0</v>
      </c>
      <c r="F263" s="2" t="str">
        <f t="shared" si="236"/>
        <v>Новый раздел</v>
      </c>
      <c r="G263" s="2" t="str">
        <f t="shared" si="236"/>
        <v>Дом односекционный  (15 шт.) по адресу: г. Москва, городское поселение Краснопахорское, квартал 107</v>
      </c>
      <c r="H263" s="2"/>
      <c r="I263" s="2"/>
      <c r="J263" s="2"/>
      <c r="K263" s="2"/>
      <c r="L263" s="2"/>
      <c r="M263" s="2"/>
      <c r="N263" s="2"/>
      <c r="O263" s="2">
        <f t="shared" ref="O263:AT263" si="237">O473</f>
        <v>639884.41</v>
      </c>
      <c r="P263" s="2">
        <f t="shared" si="237"/>
        <v>5179.96</v>
      </c>
      <c r="Q263" s="2">
        <f t="shared" si="237"/>
        <v>30966.400000000001</v>
      </c>
      <c r="R263" s="2">
        <f t="shared" si="237"/>
        <v>19569.599999999999</v>
      </c>
      <c r="S263" s="2">
        <f t="shared" si="237"/>
        <v>603738.05000000005</v>
      </c>
      <c r="T263" s="2">
        <f t="shared" si="237"/>
        <v>0</v>
      </c>
      <c r="U263" s="2">
        <f t="shared" si="237"/>
        <v>992.52150000000017</v>
      </c>
      <c r="V263" s="2">
        <f t="shared" si="237"/>
        <v>0</v>
      </c>
      <c r="W263" s="2">
        <f t="shared" si="237"/>
        <v>0</v>
      </c>
      <c r="X263" s="2">
        <f t="shared" si="237"/>
        <v>422616.66</v>
      </c>
      <c r="Y263" s="2">
        <f t="shared" si="237"/>
        <v>60373.82</v>
      </c>
      <c r="Z263" s="2">
        <f t="shared" si="237"/>
        <v>0</v>
      </c>
      <c r="AA263" s="2">
        <f t="shared" si="237"/>
        <v>0</v>
      </c>
      <c r="AB263" s="2">
        <f t="shared" si="237"/>
        <v>0</v>
      </c>
      <c r="AC263" s="2">
        <f t="shared" si="237"/>
        <v>0</v>
      </c>
      <c r="AD263" s="2">
        <f t="shared" si="237"/>
        <v>0</v>
      </c>
      <c r="AE263" s="2">
        <f t="shared" si="237"/>
        <v>0</v>
      </c>
      <c r="AF263" s="2">
        <f t="shared" si="237"/>
        <v>0</v>
      </c>
      <c r="AG263" s="2">
        <f t="shared" si="237"/>
        <v>0</v>
      </c>
      <c r="AH263" s="2">
        <f t="shared" si="237"/>
        <v>0</v>
      </c>
      <c r="AI263" s="2">
        <f t="shared" si="237"/>
        <v>0</v>
      </c>
      <c r="AJ263" s="2">
        <f t="shared" si="237"/>
        <v>0</v>
      </c>
      <c r="AK263" s="2">
        <f t="shared" si="237"/>
        <v>0</v>
      </c>
      <c r="AL263" s="2">
        <f t="shared" si="237"/>
        <v>0</v>
      </c>
      <c r="AM263" s="2">
        <f t="shared" si="237"/>
        <v>0</v>
      </c>
      <c r="AN263" s="2">
        <f t="shared" si="237"/>
        <v>0</v>
      </c>
      <c r="AO263" s="2">
        <f t="shared" si="237"/>
        <v>0</v>
      </c>
      <c r="AP263" s="2">
        <f t="shared" si="237"/>
        <v>0</v>
      </c>
      <c r="AQ263" s="2">
        <f t="shared" si="237"/>
        <v>0</v>
      </c>
      <c r="AR263" s="2">
        <f t="shared" si="237"/>
        <v>1144010.04</v>
      </c>
      <c r="AS263" s="2">
        <f t="shared" si="237"/>
        <v>0</v>
      </c>
      <c r="AT263" s="2">
        <f t="shared" si="237"/>
        <v>0</v>
      </c>
      <c r="AU263" s="2">
        <f t="shared" ref="AU263:BZ263" si="238">AU473</f>
        <v>1144010.04</v>
      </c>
      <c r="AV263" s="2">
        <f t="shared" si="238"/>
        <v>5179.96</v>
      </c>
      <c r="AW263" s="2">
        <f t="shared" si="238"/>
        <v>5179.96</v>
      </c>
      <c r="AX263" s="2">
        <f t="shared" si="238"/>
        <v>0</v>
      </c>
      <c r="AY263" s="2">
        <f t="shared" si="238"/>
        <v>5179.96</v>
      </c>
      <c r="AZ263" s="2">
        <f t="shared" si="238"/>
        <v>0</v>
      </c>
      <c r="BA263" s="2">
        <f t="shared" si="238"/>
        <v>0</v>
      </c>
      <c r="BB263" s="2">
        <f t="shared" si="238"/>
        <v>0</v>
      </c>
      <c r="BC263" s="2">
        <f t="shared" si="238"/>
        <v>0</v>
      </c>
      <c r="BD263" s="2">
        <f t="shared" si="238"/>
        <v>0</v>
      </c>
      <c r="BE263" s="2">
        <f t="shared" si="238"/>
        <v>0</v>
      </c>
      <c r="BF263" s="2">
        <f t="shared" si="238"/>
        <v>0</v>
      </c>
      <c r="BG263" s="2">
        <f t="shared" si="238"/>
        <v>0</v>
      </c>
      <c r="BH263" s="2">
        <f t="shared" si="238"/>
        <v>0</v>
      </c>
      <c r="BI263" s="2">
        <f t="shared" si="238"/>
        <v>0</v>
      </c>
      <c r="BJ263" s="2">
        <f t="shared" si="238"/>
        <v>0</v>
      </c>
      <c r="BK263" s="2">
        <f t="shared" si="238"/>
        <v>0</v>
      </c>
      <c r="BL263" s="2">
        <f t="shared" si="238"/>
        <v>0</v>
      </c>
      <c r="BM263" s="2">
        <f t="shared" si="238"/>
        <v>0</v>
      </c>
      <c r="BN263" s="2">
        <f t="shared" si="238"/>
        <v>0</v>
      </c>
      <c r="BO263" s="2">
        <f t="shared" si="238"/>
        <v>0</v>
      </c>
      <c r="BP263" s="2">
        <f t="shared" si="238"/>
        <v>0</v>
      </c>
      <c r="BQ263" s="2">
        <f t="shared" si="238"/>
        <v>0</v>
      </c>
      <c r="BR263" s="2">
        <f t="shared" si="238"/>
        <v>0</v>
      </c>
      <c r="BS263" s="2">
        <f t="shared" si="238"/>
        <v>0</v>
      </c>
      <c r="BT263" s="2">
        <f t="shared" si="238"/>
        <v>0</v>
      </c>
      <c r="BU263" s="2">
        <f t="shared" si="238"/>
        <v>0</v>
      </c>
      <c r="BV263" s="2">
        <f t="shared" si="238"/>
        <v>0</v>
      </c>
      <c r="BW263" s="2">
        <f t="shared" si="238"/>
        <v>0</v>
      </c>
      <c r="BX263" s="2">
        <f t="shared" si="238"/>
        <v>0</v>
      </c>
      <c r="BY263" s="2">
        <f t="shared" si="238"/>
        <v>0</v>
      </c>
      <c r="BZ263" s="2">
        <f t="shared" si="238"/>
        <v>0</v>
      </c>
      <c r="CA263" s="2">
        <f t="shared" ref="CA263:DF263" si="239">CA473</f>
        <v>0</v>
      </c>
      <c r="CB263" s="2">
        <f t="shared" si="239"/>
        <v>0</v>
      </c>
      <c r="CC263" s="2">
        <f t="shared" si="239"/>
        <v>0</v>
      </c>
      <c r="CD263" s="2">
        <f t="shared" si="239"/>
        <v>0</v>
      </c>
      <c r="CE263" s="2">
        <f t="shared" si="239"/>
        <v>0</v>
      </c>
      <c r="CF263" s="2">
        <f t="shared" si="239"/>
        <v>0</v>
      </c>
      <c r="CG263" s="2">
        <f t="shared" si="239"/>
        <v>0</v>
      </c>
      <c r="CH263" s="2">
        <f t="shared" si="239"/>
        <v>0</v>
      </c>
      <c r="CI263" s="2">
        <f t="shared" si="239"/>
        <v>0</v>
      </c>
      <c r="CJ263" s="2">
        <f t="shared" si="239"/>
        <v>0</v>
      </c>
      <c r="CK263" s="2">
        <f t="shared" si="239"/>
        <v>0</v>
      </c>
      <c r="CL263" s="2">
        <f t="shared" si="239"/>
        <v>0</v>
      </c>
      <c r="CM263" s="2">
        <f t="shared" si="239"/>
        <v>0</v>
      </c>
      <c r="CN263" s="2">
        <f t="shared" si="239"/>
        <v>0</v>
      </c>
      <c r="CO263" s="2">
        <f t="shared" si="239"/>
        <v>0</v>
      </c>
      <c r="CP263" s="2">
        <f t="shared" si="239"/>
        <v>0</v>
      </c>
      <c r="CQ263" s="2">
        <f t="shared" si="239"/>
        <v>0</v>
      </c>
      <c r="CR263" s="2">
        <f t="shared" si="239"/>
        <v>0</v>
      </c>
      <c r="CS263" s="2">
        <f t="shared" si="239"/>
        <v>0</v>
      </c>
      <c r="CT263" s="2">
        <f t="shared" si="239"/>
        <v>0</v>
      </c>
      <c r="CU263" s="2">
        <f t="shared" si="239"/>
        <v>0</v>
      </c>
      <c r="CV263" s="2">
        <f t="shared" si="239"/>
        <v>0</v>
      </c>
      <c r="CW263" s="2">
        <f t="shared" si="239"/>
        <v>0</v>
      </c>
      <c r="CX263" s="2">
        <f t="shared" si="239"/>
        <v>0</v>
      </c>
      <c r="CY263" s="2">
        <f t="shared" si="239"/>
        <v>0</v>
      </c>
      <c r="CZ263" s="2">
        <f t="shared" si="239"/>
        <v>0</v>
      </c>
      <c r="DA263" s="2">
        <f t="shared" si="239"/>
        <v>0</v>
      </c>
      <c r="DB263" s="2">
        <f t="shared" si="239"/>
        <v>0</v>
      </c>
      <c r="DC263" s="2">
        <f t="shared" si="239"/>
        <v>0</v>
      </c>
      <c r="DD263" s="2">
        <f t="shared" si="239"/>
        <v>0</v>
      </c>
      <c r="DE263" s="2">
        <f t="shared" si="239"/>
        <v>0</v>
      </c>
      <c r="DF263" s="2">
        <f t="shared" si="239"/>
        <v>0</v>
      </c>
      <c r="DG263" s="3">
        <f t="shared" ref="DG263:EL263" si="240">DG473</f>
        <v>0</v>
      </c>
      <c r="DH263" s="3">
        <f t="shared" si="240"/>
        <v>0</v>
      </c>
      <c r="DI263" s="3">
        <f t="shared" si="240"/>
        <v>0</v>
      </c>
      <c r="DJ263" s="3">
        <f t="shared" si="240"/>
        <v>0</v>
      </c>
      <c r="DK263" s="3">
        <f t="shared" si="240"/>
        <v>0</v>
      </c>
      <c r="DL263" s="3">
        <f t="shared" si="240"/>
        <v>0</v>
      </c>
      <c r="DM263" s="3">
        <f t="shared" si="240"/>
        <v>0</v>
      </c>
      <c r="DN263" s="3">
        <f t="shared" si="240"/>
        <v>0</v>
      </c>
      <c r="DO263" s="3">
        <f t="shared" si="240"/>
        <v>0</v>
      </c>
      <c r="DP263" s="3">
        <f t="shared" si="240"/>
        <v>0</v>
      </c>
      <c r="DQ263" s="3">
        <f t="shared" si="240"/>
        <v>0</v>
      </c>
      <c r="DR263" s="3">
        <f t="shared" si="240"/>
        <v>0</v>
      </c>
      <c r="DS263" s="3">
        <f t="shared" si="240"/>
        <v>0</v>
      </c>
      <c r="DT263" s="3">
        <f t="shared" si="240"/>
        <v>0</v>
      </c>
      <c r="DU263" s="3">
        <f t="shared" si="240"/>
        <v>0</v>
      </c>
      <c r="DV263" s="3">
        <f t="shared" si="240"/>
        <v>0</v>
      </c>
      <c r="DW263" s="3">
        <f t="shared" si="240"/>
        <v>0</v>
      </c>
      <c r="DX263" s="3">
        <f t="shared" si="240"/>
        <v>0</v>
      </c>
      <c r="DY263" s="3">
        <f t="shared" si="240"/>
        <v>0</v>
      </c>
      <c r="DZ263" s="3">
        <f t="shared" si="240"/>
        <v>0</v>
      </c>
      <c r="EA263" s="3">
        <f t="shared" si="240"/>
        <v>0</v>
      </c>
      <c r="EB263" s="3">
        <f t="shared" si="240"/>
        <v>0</v>
      </c>
      <c r="EC263" s="3">
        <f t="shared" si="240"/>
        <v>0</v>
      </c>
      <c r="ED263" s="3">
        <f t="shared" si="240"/>
        <v>0</v>
      </c>
      <c r="EE263" s="3">
        <f t="shared" si="240"/>
        <v>0</v>
      </c>
      <c r="EF263" s="3">
        <f t="shared" si="240"/>
        <v>0</v>
      </c>
      <c r="EG263" s="3">
        <f t="shared" si="240"/>
        <v>0</v>
      </c>
      <c r="EH263" s="3">
        <f t="shared" si="240"/>
        <v>0</v>
      </c>
      <c r="EI263" s="3">
        <f t="shared" si="240"/>
        <v>0</v>
      </c>
      <c r="EJ263" s="3">
        <f t="shared" si="240"/>
        <v>0</v>
      </c>
      <c r="EK263" s="3">
        <f t="shared" si="240"/>
        <v>0</v>
      </c>
      <c r="EL263" s="3">
        <f t="shared" si="240"/>
        <v>0</v>
      </c>
      <c r="EM263" s="3">
        <f t="shared" ref="EM263:FR263" si="241">EM473</f>
        <v>0</v>
      </c>
      <c r="EN263" s="3">
        <f t="shared" si="241"/>
        <v>0</v>
      </c>
      <c r="EO263" s="3">
        <f t="shared" si="241"/>
        <v>0</v>
      </c>
      <c r="EP263" s="3">
        <f t="shared" si="241"/>
        <v>0</v>
      </c>
      <c r="EQ263" s="3">
        <f t="shared" si="241"/>
        <v>0</v>
      </c>
      <c r="ER263" s="3">
        <f t="shared" si="241"/>
        <v>0</v>
      </c>
      <c r="ES263" s="3">
        <f t="shared" si="241"/>
        <v>0</v>
      </c>
      <c r="ET263" s="3">
        <f t="shared" si="241"/>
        <v>0</v>
      </c>
      <c r="EU263" s="3">
        <f t="shared" si="241"/>
        <v>0</v>
      </c>
      <c r="EV263" s="3">
        <f t="shared" si="241"/>
        <v>0</v>
      </c>
      <c r="EW263" s="3">
        <f t="shared" si="241"/>
        <v>0</v>
      </c>
      <c r="EX263" s="3">
        <f t="shared" si="241"/>
        <v>0</v>
      </c>
      <c r="EY263" s="3">
        <f t="shared" si="241"/>
        <v>0</v>
      </c>
      <c r="EZ263" s="3">
        <f t="shared" si="241"/>
        <v>0</v>
      </c>
      <c r="FA263" s="3">
        <f t="shared" si="241"/>
        <v>0</v>
      </c>
      <c r="FB263" s="3">
        <f t="shared" si="241"/>
        <v>0</v>
      </c>
      <c r="FC263" s="3">
        <f t="shared" si="241"/>
        <v>0</v>
      </c>
      <c r="FD263" s="3">
        <f t="shared" si="241"/>
        <v>0</v>
      </c>
      <c r="FE263" s="3">
        <f t="shared" si="241"/>
        <v>0</v>
      </c>
      <c r="FF263" s="3">
        <f t="shared" si="241"/>
        <v>0</v>
      </c>
      <c r="FG263" s="3">
        <f t="shared" si="241"/>
        <v>0</v>
      </c>
      <c r="FH263" s="3">
        <f t="shared" si="241"/>
        <v>0</v>
      </c>
      <c r="FI263" s="3">
        <f t="shared" si="241"/>
        <v>0</v>
      </c>
      <c r="FJ263" s="3">
        <f t="shared" si="241"/>
        <v>0</v>
      </c>
      <c r="FK263" s="3">
        <f t="shared" si="241"/>
        <v>0</v>
      </c>
      <c r="FL263" s="3">
        <f t="shared" si="241"/>
        <v>0</v>
      </c>
      <c r="FM263" s="3">
        <f t="shared" si="241"/>
        <v>0</v>
      </c>
      <c r="FN263" s="3">
        <f t="shared" si="241"/>
        <v>0</v>
      </c>
      <c r="FO263" s="3">
        <f t="shared" si="241"/>
        <v>0</v>
      </c>
      <c r="FP263" s="3">
        <f t="shared" si="241"/>
        <v>0</v>
      </c>
      <c r="FQ263" s="3">
        <f t="shared" si="241"/>
        <v>0</v>
      </c>
      <c r="FR263" s="3">
        <f t="shared" si="241"/>
        <v>0</v>
      </c>
      <c r="FS263" s="3">
        <f t="shared" ref="FS263:GX263" si="242">FS473</f>
        <v>0</v>
      </c>
      <c r="FT263" s="3">
        <f t="shared" si="242"/>
        <v>0</v>
      </c>
      <c r="FU263" s="3">
        <f t="shared" si="242"/>
        <v>0</v>
      </c>
      <c r="FV263" s="3">
        <f t="shared" si="242"/>
        <v>0</v>
      </c>
      <c r="FW263" s="3">
        <f t="shared" si="242"/>
        <v>0</v>
      </c>
      <c r="FX263" s="3">
        <f t="shared" si="242"/>
        <v>0</v>
      </c>
      <c r="FY263" s="3">
        <f t="shared" si="242"/>
        <v>0</v>
      </c>
      <c r="FZ263" s="3">
        <f t="shared" si="242"/>
        <v>0</v>
      </c>
      <c r="GA263" s="3">
        <f t="shared" si="242"/>
        <v>0</v>
      </c>
      <c r="GB263" s="3">
        <f t="shared" si="242"/>
        <v>0</v>
      </c>
      <c r="GC263" s="3">
        <f t="shared" si="242"/>
        <v>0</v>
      </c>
      <c r="GD263" s="3">
        <f t="shared" si="242"/>
        <v>0</v>
      </c>
      <c r="GE263" s="3">
        <f t="shared" si="242"/>
        <v>0</v>
      </c>
      <c r="GF263" s="3">
        <f t="shared" si="242"/>
        <v>0</v>
      </c>
      <c r="GG263" s="3">
        <f t="shared" si="242"/>
        <v>0</v>
      </c>
      <c r="GH263" s="3">
        <f t="shared" si="242"/>
        <v>0</v>
      </c>
      <c r="GI263" s="3">
        <f t="shared" si="242"/>
        <v>0</v>
      </c>
      <c r="GJ263" s="3">
        <f t="shared" si="242"/>
        <v>0</v>
      </c>
      <c r="GK263" s="3">
        <f t="shared" si="242"/>
        <v>0</v>
      </c>
      <c r="GL263" s="3">
        <f t="shared" si="242"/>
        <v>0</v>
      </c>
      <c r="GM263" s="3">
        <f t="shared" si="242"/>
        <v>0</v>
      </c>
      <c r="GN263" s="3">
        <f t="shared" si="242"/>
        <v>0</v>
      </c>
      <c r="GO263" s="3">
        <f t="shared" si="242"/>
        <v>0</v>
      </c>
      <c r="GP263" s="3">
        <f t="shared" si="242"/>
        <v>0</v>
      </c>
      <c r="GQ263" s="3">
        <f t="shared" si="242"/>
        <v>0</v>
      </c>
      <c r="GR263" s="3">
        <f t="shared" si="242"/>
        <v>0</v>
      </c>
      <c r="GS263" s="3">
        <f t="shared" si="242"/>
        <v>0</v>
      </c>
      <c r="GT263" s="3">
        <f t="shared" si="242"/>
        <v>0</v>
      </c>
      <c r="GU263" s="3">
        <f t="shared" si="242"/>
        <v>0</v>
      </c>
      <c r="GV263" s="3">
        <f t="shared" si="242"/>
        <v>0</v>
      </c>
      <c r="GW263" s="3">
        <f t="shared" si="242"/>
        <v>0</v>
      </c>
      <c r="GX263" s="3">
        <f t="shared" si="242"/>
        <v>0</v>
      </c>
    </row>
    <row r="265" spans="1:245" x14ac:dyDescent="0.2">
      <c r="A265" s="1">
        <v>5</v>
      </c>
      <c r="B265" s="1">
        <v>1</v>
      </c>
      <c r="C265" s="1"/>
      <c r="D265" s="1">
        <f>ROW(A292)</f>
        <v>292</v>
      </c>
      <c r="E265" s="1"/>
      <c r="F265" s="1" t="s">
        <v>14</v>
      </c>
      <c r="G265" s="1" t="s">
        <v>15</v>
      </c>
      <c r="H265" s="1" t="s">
        <v>3</v>
      </c>
      <c r="I265" s="1">
        <v>0</v>
      </c>
      <c r="J265" s="1"/>
      <c r="K265" s="1">
        <v>-1</v>
      </c>
      <c r="L265" s="1"/>
      <c r="M265" s="1" t="s">
        <v>3</v>
      </c>
      <c r="N265" s="1"/>
      <c r="O265" s="1"/>
      <c r="P265" s="1"/>
      <c r="Q265" s="1"/>
      <c r="R265" s="1"/>
      <c r="S265" s="1">
        <v>0</v>
      </c>
      <c r="T265" s="1"/>
      <c r="U265" s="1" t="s">
        <v>3</v>
      </c>
      <c r="V265" s="1">
        <v>0</v>
      </c>
      <c r="W265" s="1"/>
      <c r="X265" s="1"/>
      <c r="Y265" s="1"/>
      <c r="Z265" s="1"/>
      <c r="AA265" s="1"/>
      <c r="AB265" s="1" t="s">
        <v>3</v>
      </c>
      <c r="AC265" s="1" t="s">
        <v>3</v>
      </c>
      <c r="AD265" s="1" t="s">
        <v>3</v>
      </c>
      <c r="AE265" s="1" t="s">
        <v>3</v>
      </c>
      <c r="AF265" s="1" t="s">
        <v>3</v>
      </c>
      <c r="AG265" s="1" t="s">
        <v>3</v>
      </c>
      <c r="AH265" s="1"/>
      <c r="AI265" s="1"/>
      <c r="AJ265" s="1"/>
      <c r="AK265" s="1"/>
      <c r="AL265" s="1"/>
      <c r="AM265" s="1"/>
      <c r="AN265" s="1"/>
      <c r="AO265" s="1"/>
      <c r="AP265" s="1" t="s">
        <v>3</v>
      </c>
      <c r="AQ265" s="1" t="s">
        <v>3</v>
      </c>
      <c r="AR265" s="1" t="s">
        <v>3</v>
      </c>
      <c r="AS265" s="1"/>
      <c r="AT265" s="1"/>
      <c r="AU265" s="1"/>
      <c r="AV265" s="1"/>
      <c r="AW265" s="1"/>
      <c r="AX265" s="1"/>
      <c r="AY265" s="1"/>
      <c r="AZ265" s="1" t="s">
        <v>3</v>
      </c>
      <c r="BA265" s="1"/>
      <c r="BB265" s="1" t="s">
        <v>3</v>
      </c>
      <c r="BC265" s="1" t="s">
        <v>3</v>
      </c>
      <c r="BD265" s="1" t="s">
        <v>3</v>
      </c>
      <c r="BE265" s="1" t="s">
        <v>3</v>
      </c>
      <c r="BF265" s="1" t="s">
        <v>3</v>
      </c>
      <c r="BG265" s="1" t="s">
        <v>3</v>
      </c>
      <c r="BH265" s="1" t="s">
        <v>3</v>
      </c>
      <c r="BI265" s="1" t="s">
        <v>3</v>
      </c>
      <c r="BJ265" s="1" t="s">
        <v>3</v>
      </c>
      <c r="BK265" s="1" t="s">
        <v>3</v>
      </c>
      <c r="BL265" s="1" t="s">
        <v>3</v>
      </c>
      <c r="BM265" s="1" t="s">
        <v>3</v>
      </c>
      <c r="BN265" s="1" t="s">
        <v>3</v>
      </c>
      <c r="BO265" s="1" t="s">
        <v>3</v>
      </c>
      <c r="BP265" s="1" t="s">
        <v>3</v>
      </c>
      <c r="BQ265" s="1"/>
      <c r="BR265" s="1"/>
      <c r="BS265" s="1"/>
      <c r="BT265" s="1"/>
      <c r="BU265" s="1"/>
      <c r="BV265" s="1"/>
      <c r="BW265" s="1"/>
      <c r="BX265" s="1">
        <v>0</v>
      </c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J265" s="1">
        <v>0</v>
      </c>
    </row>
    <row r="267" spans="1:245" x14ac:dyDescent="0.2">
      <c r="A267" s="2">
        <v>52</v>
      </c>
      <c r="B267" s="2">
        <f t="shared" ref="B267:G267" si="243">B292</f>
        <v>1</v>
      </c>
      <c r="C267" s="2">
        <f t="shared" si="243"/>
        <v>5</v>
      </c>
      <c r="D267" s="2">
        <f t="shared" si="243"/>
        <v>265</v>
      </c>
      <c r="E267" s="2">
        <f t="shared" si="243"/>
        <v>0</v>
      </c>
      <c r="F267" s="2" t="str">
        <f t="shared" si="243"/>
        <v>Новый подраздел</v>
      </c>
      <c r="G267" s="2" t="str">
        <f t="shared" si="243"/>
        <v>Система внутреннего водоснабжения и водоотведения</v>
      </c>
      <c r="H267" s="2"/>
      <c r="I267" s="2"/>
      <c r="J267" s="2"/>
      <c r="K267" s="2"/>
      <c r="L267" s="2"/>
      <c r="M267" s="2"/>
      <c r="N267" s="2"/>
      <c r="O267" s="2">
        <f t="shared" ref="O267:AT267" si="244">O292</f>
        <v>107459.17</v>
      </c>
      <c r="P267" s="2">
        <f t="shared" si="244"/>
        <v>534.69000000000005</v>
      </c>
      <c r="Q267" s="2">
        <f t="shared" si="244"/>
        <v>27049.439999999999</v>
      </c>
      <c r="R267" s="2">
        <f t="shared" si="244"/>
        <v>17139.52</v>
      </c>
      <c r="S267" s="2">
        <f t="shared" si="244"/>
        <v>79875.039999999994</v>
      </c>
      <c r="T267" s="2">
        <f t="shared" si="244"/>
        <v>0</v>
      </c>
      <c r="U267" s="2">
        <f t="shared" si="244"/>
        <v>140.92949999999996</v>
      </c>
      <c r="V267" s="2">
        <f t="shared" si="244"/>
        <v>0</v>
      </c>
      <c r="W267" s="2">
        <f t="shared" si="244"/>
        <v>0</v>
      </c>
      <c r="X267" s="2">
        <f t="shared" si="244"/>
        <v>55912.53</v>
      </c>
      <c r="Y267" s="2">
        <f t="shared" si="244"/>
        <v>7987.51</v>
      </c>
      <c r="Z267" s="2">
        <f t="shared" si="244"/>
        <v>0</v>
      </c>
      <c r="AA267" s="2">
        <f t="shared" si="244"/>
        <v>0</v>
      </c>
      <c r="AB267" s="2">
        <f t="shared" si="244"/>
        <v>107459.17</v>
      </c>
      <c r="AC267" s="2">
        <f t="shared" si="244"/>
        <v>534.69000000000005</v>
      </c>
      <c r="AD267" s="2">
        <f t="shared" si="244"/>
        <v>27049.439999999999</v>
      </c>
      <c r="AE267" s="2">
        <f t="shared" si="244"/>
        <v>17139.52</v>
      </c>
      <c r="AF267" s="2">
        <f t="shared" si="244"/>
        <v>79875.039999999994</v>
      </c>
      <c r="AG267" s="2">
        <f t="shared" si="244"/>
        <v>0</v>
      </c>
      <c r="AH267" s="2">
        <f t="shared" si="244"/>
        <v>140.92949999999996</v>
      </c>
      <c r="AI267" s="2">
        <f t="shared" si="244"/>
        <v>0</v>
      </c>
      <c r="AJ267" s="2">
        <f t="shared" si="244"/>
        <v>0</v>
      </c>
      <c r="AK267" s="2">
        <f t="shared" si="244"/>
        <v>55912.53</v>
      </c>
      <c r="AL267" s="2">
        <f t="shared" si="244"/>
        <v>7987.51</v>
      </c>
      <c r="AM267" s="2">
        <f t="shared" si="244"/>
        <v>0</v>
      </c>
      <c r="AN267" s="2">
        <f t="shared" si="244"/>
        <v>0</v>
      </c>
      <c r="AO267" s="2">
        <f t="shared" si="244"/>
        <v>0</v>
      </c>
      <c r="AP267" s="2">
        <f t="shared" si="244"/>
        <v>0</v>
      </c>
      <c r="AQ267" s="2">
        <f t="shared" si="244"/>
        <v>0</v>
      </c>
      <c r="AR267" s="2">
        <f t="shared" si="244"/>
        <v>189869.88</v>
      </c>
      <c r="AS267" s="2">
        <f t="shared" si="244"/>
        <v>0</v>
      </c>
      <c r="AT267" s="2">
        <f t="shared" si="244"/>
        <v>0</v>
      </c>
      <c r="AU267" s="2">
        <f t="shared" ref="AU267:BZ267" si="245">AU292</f>
        <v>189869.88</v>
      </c>
      <c r="AV267" s="2">
        <f t="shared" si="245"/>
        <v>534.69000000000005</v>
      </c>
      <c r="AW267" s="2">
        <f t="shared" si="245"/>
        <v>534.69000000000005</v>
      </c>
      <c r="AX267" s="2">
        <f t="shared" si="245"/>
        <v>0</v>
      </c>
      <c r="AY267" s="2">
        <f t="shared" si="245"/>
        <v>534.69000000000005</v>
      </c>
      <c r="AZ267" s="2">
        <f t="shared" si="245"/>
        <v>0</v>
      </c>
      <c r="BA267" s="2">
        <f t="shared" si="245"/>
        <v>0</v>
      </c>
      <c r="BB267" s="2">
        <f t="shared" si="245"/>
        <v>0</v>
      </c>
      <c r="BC267" s="2">
        <f t="shared" si="245"/>
        <v>0</v>
      </c>
      <c r="BD267" s="2">
        <f t="shared" si="245"/>
        <v>0</v>
      </c>
      <c r="BE267" s="2">
        <f t="shared" si="245"/>
        <v>0</v>
      </c>
      <c r="BF267" s="2">
        <f t="shared" si="245"/>
        <v>0</v>
      </c>
      <c r="BG267" s="2">
        <f t="shared" si="245"/>
        <v>0</v>
      </c>
      <c r="BH267" s="2">
        <f t="shared" si="245"/>
        <v>0</v>
      </c>
      <c r="BI267" s="2">
        <f t="shared" si="245"/>
        <v>0</v>
      </c>
      <c r="BJ267" s="2">
        <f t="shared" si="245"/>
        <v>0</v>
      </c>
      <c r="BK267" s="2">
        <f t="shared" si="245"/>
        <v>0</v>
      </c>
      <c r="BL267" s="2">
        <f t="shared" si="245"/>
        <v>0</v>
      </c>
      <c r="BM267" s="2">
        <f t="shared" si="245"/>
        <v>0</v>
      </c>
      <c r="BN267" s="2">
        <f t="shared" si="245"/>
        <v>0</v>
      </c>
      <c r="BO267" s="2">
        <f t="shared" si="245"/>
        <v>0</v>
      </c>
      <c r="BP267" s="2">
        <f t="shared" si="245"/>
        <v>0</v>
      </c>
      <c r="BQ267" s="2">
        <f t="shared" si="245"/>
        <v>0</v>
      </c>
      <c r="BR267" s="2">
        <f t="shared" si="245"/>
        <v>0</v>
      </c>
      <c r="BS267" s="2">
        <f t="shared" si="245"/>
        <v>0</v>
      </c>
      <c r="BT267" s="2">
        <f t="shared" si="245"/>
        <v>0</v>
      </c>
      <c r="BU267" s="2">
        <f t="shared" si="245"/>
        <v>0</v>
      </c>
      <c r="BV267" s="2">
        <f t="shared" si="245"/>
        <v>0</v>
      </c>
      <c r="BW267" s="2">
        <f t="shared" si="245"/>
        <v>0</v>
      </c>
      <c r="BX267" s="2">
        <f t="shared" si="245"/>
        <v>0</v>
      </c>
      <c r="BY267" s="2">
        <f t="shared" si="245"/>
        <v>0</v>
      </c>
      <c r="BZ267" s="2">
        <f t="shared" si="245"/>
        <v>0</v>
      </c>
      <c r="CA267" s="2">
        <f t="shared" ref="CA267:DF267" si="246">CA292</f>
        <v>189869.88</v>
      </c>
      <c r="CB267" s="2">
        <f t="shared" si="246"/>
        <v>0</v>
      </c>
      <c r="CC267" s="2">
        <f t="shared" si="246"/>
        <v>0</v>
      </c>
      <c r="CD267" s="2">
        <f t="shared" si="246"/>
        <v>189869.88</v>
      </c>
      <c r="CE267" s="2">
        <f t="shared" si="246"/>
        <v>534.69000000000005</v>
      </c>
      <c r="CF267" s="2">
        <f t="shared" si="246"/>
        <v>534.69000000000005</v>
      </c>
      <c r="CG267" s="2">
        <f t="shared" si="246"/>
        <v>0</v>
      </c>
      <c r="CH267" s="2">
        <f t="shared" si="246"/>
        <v>534.69000000000005</v>
      </c>
      <c r="CI267" s="2">
        <f t="shared" si="246"/>
        <v>0</v>
      </c>
      <c r="CJ267" s="2">
        <f t="shared" si="246"/>
        <v>0</v>
      </c>
      <c r="CK267" s="2">
        <f t="shared" si="246"/>
        <v>0</v>
      </c>
      <c r="CL267" s="2">
        <f t="shared" si="246"/>
        <v>0</v>
      </c>
      <c r="CM267" s="2">
        <f t="shared" si="246"/>
        <v>0</v>
      </c>
      <c r="CN267" s="2">
        <f t="shared" si="246"/>
        <v>0</v>
      </c>
      <c r="CO267" s="2">
        <f t="shared" si="246"/>
        <v>0</v>
      </c>
      <c r="CP267" s="2">
        <f t="shared" si="246"/>
        <v>0</v>
      </c>
      <c r="CQ267" s="2">
        <f t="shared" si="246"/>
        <v>0</v>
      </c>
      <c r="CR267" s="2">
        <f t="shared" si="246"/>
        <v>0</v>
      </c>
      <c r="CS267" s="2">
        <f t="shared" si="246"/>
        <v>0</v>
      </c>
      <c r="CT267" s="2">
        <f t="shared" si="246"/>
        <v>0</v>
      </c>
      <c r="CU267" s="2">
        <f t="shared" si="246"/>
        <v>0</v>
      </c>
      <c r="CV267" s="2">
        <f t="shared" si="246"/>
        <v>0</v>
      </c>
      <c r="CW267" s="2">
        <f t="shared" si="246"/>
        <v>0</v>
      </c>
      <c r="CX267" s="2">
        <f t="shared" si="246"/>
        <v>0</v>
      </c>
      <c r="CY267" s="2">
        <f t="shared" si="246"/>
        <v>0</v>
      </c>
      <c r="CZ267" s="2">
        <f t="shared" si="246"/>
        <v>0</v>
      </c>
      <c r="DA267" s="2">
        <f t="shared" si="246"/>
        <v>0</v>
      </c>
      <c r="DB267" s="2">
        <f t="shared" si="246"/>
        <v>0</v>
      </c>
      <c r="DC267" s="2">
        <f t="shared" si="246"/>
        <v>0</v>
      </c>
      <c r="DD267" s="2">
        <f t="shared" si="246"/>
        <v>0</v>
      </c>
      <c r="DE267" s="2">
        <f t="shared" si="246"/>
        <v>0</v>
      </c>
      <c r="DF267" s="2">
        <f t="shared" si="246"/>
        <v>0</v>
      </c>
      <c r="DG267" s="3">
        <f t="shared" ref="DG267:EL267" si="247">DG292</f>
        <v>0</v>
      </c>
      <c r="DH267" s="3">
        <f t="shared" si="247"/>
        <v>0</v>
      </c>
      <c r="DI267" s="3">
        <f t="shared" si="247"/>
        <v>0</v>
      </c>
      <c r="DJ267" s="3">
        <f t="shared" si="247"/>
        <v>0</v>
      </c>
      <c r="DK267" s="3">
        <f t="shared" si="247"/>
        <v>0</v>
      </c>
      <c r="DL267" s="3">
        <f t="shared" si="247"/>
        <v>0</v>
      </c>
      <c r="DM267" s="3">
        <f t="shared" si="247"/>
        <v>0</v>
      </c>
      <c r="DN267" s="3">
        <f t="shared" si="247"/>
        <v>0</v>
      </c>
      <c r="DO267" s="3">
        <f t="shared" si="247"/>
        <v>0</v>
      </c>
      <c r="DP267" s="3">
        <f t="shared" si="247"/>
        <v>0</v>
      </c>
      <c r="DQ267" s="3">
        <f t="shared" si="247"/>
        <v>0</v>
      </c>
      <c r="DR267" s="3">
        <f t="shared" si="247"/>
        <v>0</v>
      </c>
      <c r="DS267" s="3">
        <f t="shared" si="247"/>
        <v>0</v>
      </c>
      <c r="DT267" s="3">
        <f t="shared" si="247"/>
        <v>0</v>
      </c>
      <c r="DU267" s="3">
        <f t="shared" si="247"/>
        <v>0</v>
      </c>
      <c r="DV267" s="3">
        <f t="shared" si="247"/>
        <v>0</v>
      </c>
      <c r="DW267" s="3">
        <f t="shared" si="247"/>
        <v>0</v>
      </c>
      <c r="DX267" s="3">
        <f t="shared" si="247"/>
        <v>0</v>
      </c>
      <c r="DY267" s="3">
        <f t="shared" si="247"/>
        <v>0</v>
      </c>
      <c r="DZ267" s="3">
        <f t="shared" si="247"/>
        <v>0</v>
      </c>
      <c r="EA267" s="3">
        <f t="shared" si="247"/>
        <v>0</v>
      </c>
      <c r="EB267" s="3">
        <f t="shared" si="247"/>
        <v>0</v>
      </c>
      <c r="EC267" s="3">
        <f t="shared" si="247"/>
        <v>0</v>
      </c>
      <c r="ED267" s="3">
        <f t="shared" si="247"/>
        <v>0</v>
      </c>
      <c r="EE267" s="3">
        <f t="shared" si="247"/>
        <v>0</v>
      </c>
      <c r="EF267" s="3">
        <f t="shared" si="247"/>
        <v>0</v>
      </c>
      <c r="EG267" s="3">
        <f t="shared" si="247"/>
        <v>0</v>
      </c>
      <c r="EH267" s="3">
        <f t="shared" si="247"/>
        <v>0</v>
      </c>
      <c r="EI267" s="3">
        <f t="shared" si="247"/>
        <v>0</v>
      </c>
      <c r="EJ267" s="3">
        <f t="shared" si="247"/>
        <v>0</v>
      </c>
      <c r="EK267" s="3">
        <f t="shared" si="247"/>
        <v>0</v>
      </c>
      <c r="EL267" s="3">
        <f t="shared" si="247"/>
        <v>0</v>
      </c>
      <c r="EM267" s="3">
        <f t="shared" ref="EM267:FR267" si="248">EM292</f>
        <v>0</v>
      </c>
      <c r="EN267" s="3">
        <f t="shared" si="248"/>
        <v>0</v>
      </c>
      <c r="EO267" s="3">
        <f t="shared" si="248"/>
        <v>0</v>
      </c>
      <c r="EP267" s="3">
        <f t="shared" si="248"/>
        <v>0</v>
      </c>
      <c r="EQ267" s="3">
        <f t="shared" si="248"/>
        <v>0</v>
      </c>
      <c r="ER267" s="3">
        <f t="shared" si="248"/>
        <v>0</v>
      </c>
      <c r="ES267" s="3">
        <f t="shared" si="248"/>
        <v>0</v>
      </c>
      <c r="ET267" s="3">
        <f t="shared" si="248"/>
        <v>0</v>
      </c>
      <c r="EU267" s="3">
        <f t="shared" si="248"/>
        <v>0</v>
      </c>
      <c r="EV267" s="3">
        <f t="shared" si="248"/>
        <v>0</v>
      </c>
      <c r="EW267" s="3">
        <f t="shared" si="248"/>
        <v>0</v>
      </c>
      <c r="EX267" s="3">
        <f t="shared" si="248"/>
        <v>0</v>
      </c>
      <c r="EY267" s="3">
        <f t="shared" si="248"/>
        <v>0</v>
      </c>
      <c r="EZ267" s="3">
        <f t="shared" si="248"/>
        <v>0</v>
      </c>
      <c r="FA267" s="3">
        <f t="shared" si="248"/>
        <v>0</v>
      </c>
      <c r="FB267" s="3">
        <f t="shared" si="248"/>
        <v>0</v>
      </c>
      <c r="FC267" s="3">
        <f t="shared" si="248"/>
        <v>0</v>
      </c>
      <c r="FD267" s="3">
        <f t="shared" si="248"/>
        <v>0</v>
      </c>
      <c r="FE267" s="3">
        <f t="shared" si="248"/>
        <v>0</v>
      </c>
      <c r="FF267" s="3">
        <f t="shared" si="248"/>
        <v>0</v>
      </c>
      <c r="FG267" s="3">
        <f t="shared" si="248"/>
        <v>0</v>
      </c>
      <c r="FH267" s="3">
        <f t="shared" si="248"/>
        <v>0</v>
      </c>
      <c r="FI267" s="3">
        <f t="shared" si="248"/>
        <v>0</v>
      </c>
      <c r="FJ267" s="3">
        <f t="shared" si="248"/>
        <v>0</v>
      </c>
      <c r="FK267" s="3">
        <f t="shared" si="248"/>
        <v>0</v>
      </c>
      <c r="FL267" s="3">
        <f t="shared" si="248"/>
        <v>0</v>
      </c>
      <c r="FM267" s="3">
        <f t="shared" si="248"/>
        <v>0</v>
      </c>
      <c r="FN267" s="3">
        <f t="shared" si="248"/>
        <v>0</v>
      </c>
      <c r="FO267" s="3">
        <f t="shared" si="248"/>
        <v>0</v>
      </c>
      <c r="FP267" s="3">
        <f t="shared" si="248"/>
        <v>0</v>
      </c>
      <c r="FQ267" s="3">
        <f t="shared" si="248"/>
        <v>0</v>
      </c>
      <c r="FR267" s="3">
        <f t="shared" si="248"/>
        <v>0</v>
      </c>
      <c r="FS267" s="3">
        <f t="shared" ref="FS267:GX267" si="249">FS292</f>
        <v>0</v>
      </c>
      <c r="FT267" s="3">
        <f t="shared" si="249"/>
        <v>0</v>
      </c>
      <c r="FU267" s="3">
        <f t="shared" si="249"/>
        <v>0</v>
      </c>
      <c r="FV267" s="3">
        <f t="shared" si="249"/>
        <v>0</v>
      </c>
      <c r="FW267" s="3">
        <f t="shared" si="249"/>
        <v>0</v>
      </c>
      <c r="FX267" s="3">
        <f t="shared" si="249"/>
        <v>0</v>
      </c>
      <c r="FY267" s="3">
        <f t="shared" si="249"/>
        <v>0</v>
      </c>
      <c r="FZ267" s="3">
        <f t="shared" si="249"/>
        <v>0</v>
      </c>
      <c r="GA267" s="3">
        <f t="shared" si="249"/>
        <v>0</v>
      </c>
      <c r="GB267" s="3">
        <f t="shared" si="249"/>
        <v>0</v>
      </c>
      <c r="GC267" s="3">
        <f t="shared" si="249"/>
        <v>0</v>
      </c>
      <c r="GD267" s="3">
        <f t="shared" si="249"/>
        <v>0</v>
      </c>
      <c r="GE267" s="3">
        <f t="shared" si="249"/>
        <v>0</v>
      </c>
      <c r="GF267" s="3">
        <f t="shared" si="249"/>
        <v>0</v>
      </c>
      <c r="GG267" s="3">
        <f t="shared" si="249"/>
        <v>0</v>
      </c>
      <c r="GH267" s="3">
        <f t="shared" si="249"/>
        <v>0</v>
      </c>
      <c r="GI267" s="3">
        <f t="shared" si="249"/>
        <v>0</v>
      </c>
      <c r="GJ267" s="3">
        <f t="shared" si="249"/>
        <v>0</v>
      </c>
      <c r="GK267" s="3">
        <f t="shared" si="249"/>
        <v>0</v>
      </c>
      <c r="GL267" s="3">
        <f t="shared" si="249"/>
        <v>0</v>
      </c>
      <c r="GM267" s="3">
        <f t="shared" si="249"/>
        <v>0</v>
      </c>
      <c r="GN267" s="3">
        <f t="shared" si="249"/>
        <v>0</v>
      </c>
      <c r="GO267" s="3">
        <f t="shared" si="249"/>
        <v>0</v>
      </c>
      <c r="GP267" s="3">
        <f t="shared" si="249"/>
        <v>0</v>
      </c>
      <c r="GQ267" s="3">
        <f t="shared" si="249"/>
        <v>0</v>
      </c>
      <c r="GR267" s="3">
        <f t="shared" si="249"/>
        <v>0</v>
      </c>
      <c r="GS267" s="3">
        <f t="shared" si="249"/>
        <v>0</v>
      </c>
      <c r="GT267" s="3">
        <f t="shared" si="249"/>
        <v>0</v>
      </c>
      <c r="GU267" s="3">
        <f t="shared" si="249"/>
        <v>0</v>
      </c>
      <c r="GV267" s="3">
        <f t="shared" si="249"/>
        <v>0</v>
      </c>
      <c r="GW267" s="3">
        <f t="shared" si="249"/>
        <v>0</v>
      </c>
      <c r="GX267" s="3">
        <f t="shared" si="249"/>
        <v>0</v>
      </c>
    </row>
    <row r="269" spans="1:245" x14ac:dyDescent="0.2">
      <c r="A269">
        <v>17</v>
      </c>
      <c r="B269">
        <v>1</v>
      </c>
      <c r="D269">
        <f>ROW(EtalonRes!A130)</f>
        <v>130</v>
      </c>
      <c r="E269" t="s">
        <v>3</v>
      </c>
      <c r="F269" t="s">
        <v>43</v>
      </c>
      <c r="G269" t="s">
        <v>44</v>
      </c>
      <c r="H269" t="s">
        <v>31</v>
      </c>
      <c r="I269">
        <f>ROUND((15)*1/10,9)</f>
        <v>1.5</v>
      </c>
      <c r="J269">
        <v>0</v>
      </c>
      <c r="K269">
        <f>ROUND((15)*1/10,9)</f>
        <v>1.5</v>
      </c>
      <c r="O269">
        <f t="shared" ref="O269:O290" si="250">ROUND(CP269,2)</f>
        <v>19840.02</v>
      </c>
      <c r="P269">
        <f t="shared" ref="P269:P290" si="251">ROUND(CQ269*I269,2)</f>
        <v>0</v>
      </c>
      <c r="Q269">
        <f t="shared" ref="Q269:Q290" si="252">ROUND(CR269*I269,2)</f>
        <v>0</v>
      </c>
      <c r="R269">
        <f t="shared" ref="R269:R290" si="253">ROUND(CS269*I269,2)</f>
        <v>0</v>
      </c>
      <c r="S269">
        <f t="shared" ref="S269:S290" si="254">ROUND(CT269*I269,2)</f>
        <v>19840.02</v>
      </c>
      <c r="T269">
        <f t="shared" ref="T269:T290" si="255">ROUND(CU269*I269,2)</f>
        <v>0</v>
      </c>
      <c r="U269">
        <f t="shared" ref="U269:U290" si="256">CV269*I269</f>
        <v>32.130000000000003</v>
      </c>
      <c r="V269">
        <f t="shared" ref="V269:V290" si="257">CW269*I269</f>
        <v>0</v>
      </c>
      <c r="W269">
        <f t="shared" ref="W269:W290" si="258">ROUND(CX269*I269,2)</f>
        <v>0</v>
      </c>
      <c r="X269">
        <f t="shared" ref="X269:X290" si="259">ROUND(CY269,2)</f>
        <v>13888.01</v>
      </c>
      <c r="Y269">
        <f t="shared" ref="Y269:Y290" si="260">ROUND(CZ269,2)</f>
        <v>1984</v>
      </c>
      <c r="AA269">
        <v>-1</v>
      </c>
      <c r="AB269">
        <f t="shared" ref="AB269:AB290" si="261">ROUND((AC269+AD269+AF269),6)</f>
        <v>13226.68</v>
      </c>
      <c r="AC269">
        <f>ROUND(((ES269*17)),6)</f>
        <v>0</v>
      </c>
      <c r="AD269">
        <f>ROUND(((((ET269*17))-((EU269*17)))+AE269),6)</f>
        <v>0</v>
      </c>
      <c r="AE269">
        <f>ROUND(((EU269*17)),6)</f>
        <v>0</v>
      </c>
      <c r="AF269">
        <f>ROUND(((EV269*17)),6)</f>
        <v>13226.68</v>
      </c>
      <c r="AG269">
        <f t="shared" ref="AG269:AG290" si="262">ROUND((AP269),6)</f>
        <v>0</v>
      </c>
      <c r="AH269">
        <f>((EW269*17))</f>
        <v>21.42</v>
      </c>
      <c r="AI269">
        <f>((EX269*17))</f>
        <v>0</v>
      </c>
      <c r="AJ269">
        <f t="shared" ref="AJ269:AJ290" si="263">(AS269)</f>
        <v>0</v>
      </c>
      <c r="AK269">
        <v>778.04</v>
      </c>
      <c r="AL269">
        <v>0</v>
      </c>
      <c r="AM269">
        <v>0</v>
      </c>
      <c r="AN269">
        <v>0</v>
      </c>
      <c r="AO269">
        <v>778.04</v>
      </c>
      <c r="AP269">
        <v>0</v>
      </c>
      <c r="AQ269">
        <v>1.26</v>
      </c>
      <c r="AR269">
        <v>0</v>
      </c>
      <c r="AS269">
        <v>0</v>
      </c>
      <c r="AT269">
        <v>70</v>
      </c>
      <c r="AU269">
        <v>10</v>
      </c>
      <c r="AV269">
        <v>1</v>
      </c>
      <c r="AW269">
        <v>1</v>
      </c>
      <c r="AZ269">
        <v>1</v>
      </c>
      <c r="BA269">
        <v>1</v>
      </c>
      <c r="BB269">
        <v>1</v>
      </c>
      <c r="BC269">
        <v>1</v>
      </c>
      <c r="BD269" t="s">
        <v>3</v>
      </c>
      <c r="BE269" t="s">
        <v>3</v>
      </c>
      <c r="BF269" t="s">
        <v>3</v>
      </c>
      <c r="BG269" t="s">
        <v>3</v>
      </c>
      <c r="BH269">
        <v>0</v>
      </c>
      <c r="BI269">
        <v>4</v>
      </c>
      <c r="BJ269" t="s">
        <v>45</v>
      </c>
      <c r="BM269">
        <v>0</v>
      </c>
      <c r="BN269">
        <v>0</v>
      </c>
      <c r="BO269" t="s">
        <v>3</v>
      </c>
      <c r="BP269">
        <v>0</v>
      </c>
      <c r="BQ269">
        <v>1</v>
      </c>
      <c r="BR269">
        <v>0</v>
      </c>
      <c r="BS269">
        <v>1</v>
      </c>
      <c r="BT269">
        <v>1</v>
      </c>
      <c r="BU269">
        <v>1</v>
      </c>
      <c r="BV269">
        <v>1</v>
      </c>
      <c r="BW269">
        <v>1</v>
      </c>
      <c r="BX269">
        <v>1</v>
      </c>
      <c r="BY269" t="s">
        <v>3</v>
      </c>
      <c r="BZ269">
        <v>70</v>
      </c>
      <c r="CA269">
        <v>10</v>
      </c>
      <c r="CB269" t="s">
        <v>3</v>
      </c>
      <c r="CE269">
        <v>0</v>
      </c>
      <c r="CF269">
        <v>0</v>
      </c>
      <c r="CG269">
        <v>0</v>
      </c>
      <c r="CM269">
        <v>0</v>
      </c>
      <c r="CN269" t="s">
        <v>3</v>
      </c>
      <c r="CO269">
        <v>0</v>
      </c>
      <c r="CP269">
        <f t="shared" ref="CP269:CP290" si="264">(P269+Q269+S269)</f>
        <v>19840.02</v>
      </c>
      <c r="CQ269">
        <f t="shared" ref="CQ269:CQ290" si="265">(AC269*BC269*AW269)</f>
        <v>0</v>
      </c>
      <c r="CR269">
        <f>(((((ET269*17))*BB269-((EU269*17))*BS269)+AE269*BS269)*AV269)</f>
        <v>0</v>
      </c>
      <c r="CS269">
        <f t="shared" ref="CS269:CS290" si="266">(AE269*BS269*AV269)</f>
        <v>0</v>
      </c>
      <c r="CT269">
        <f t="shared" ref="CT269:CT290" si="267">(AF269*BA269*AV269)</f>
        <v>13226.68</v>
      </c>
      <c r="CU269">
        <f t="shared" ref="CU269:CU290" si="268">AG269</f>
        <v>0</v>
      </c>
      <c r="CV269">
        <f t="shared" ref="CV269:CV290" si="269">(AH269*AV269)</f>
        <v>21.42</v>
      </c>
      <c r="CW269">
        <f t="shared" ref="CW269:CW290" si="270">AI269</f>
        <v>0</v>
      </c>
      <c r="CX269">
        <f t="shared" ref="CX269:CX290" si="271">AJ269</f>
        <v>0</v>
      </c>
      <c r="CY269">
        <f t="shared" ref="CY269:CY290" si="272">((S269*BZ269)/100)</f>
        <v>13888.014000000001</v>
      </c>
      <c r="CZ269">
        <f t="shared" ref="CZ269:CZ290" si="273">((S269*CA269)/100)</f>
        <v>1984.0020000000002</v>
      </c>
      <c r="DC269" t="s">
        <v>3</v>
      </c>
      <c r="DD269" t="s">
        <v>46</v>
      </c>
      <c r="DE269" t="s">
        <v>46</v>
      </c>
      <c r="DF269" t="s">
        <v>46</v>
      </c>
      <c r="DG269" t="s">
        <v>46</v>
      </c>
      <c r="DH269" t="s">
        <v>3</v>
      </c>
      <c r="DI269" t="s">
        <v>46</v>
      </c>
      <c r="DJ269" t="s">
        <v>46</v>
      </c>
      <c r="DK269" t="s">
        <v>3</v>
      </c>
      <c r="DL269" t="s">
        <v>3</v>
      </c>
      <c r="DM269" t="s">
        <v>3</v>
      </c>
      <c r="DN269">
        <v>0</v>
      </c>
      <c r="DO269">
        <v>0</v>
      </c>
      <c r="DP269">
        <v>1</v>
      </c>
      <c r="DQ269">
        <v>1</v>
      </c>
      <c r="DU269">
        <v>16987630</v>
      </c>
      <c r="DV269" t="s">
        <v>31</v>
      </c>
      <c r="DW269" t="s">
        <v>31</v>
      </c>
      <c r="DX269">
        <v>10</v>
      </c>
      <c r="DZ269" t="s">
        <v>3</v>
      </c>
      <c r="EA269" t="s">
        <v>3</v>
      </c>
      <c r="EB269" t="s">
        <v>3</v>
      </c>
      <c r="EC269" t="s">
        <v>3</v>
      </c>
      <c r="EE269">
        <v>1441815344</v>
      </c>
      <c r="EF269">
        <v>1</v>
      </c>
      <c r="EG269" t="s">
        <v>21</v>
      </c>
      <c r="EH269">
        <v>0</v>
      </c>
      <c r="EI269" t="s">
        <v>3</v>
      </c>
      <c r="EJ269">
        <v>4</v>
      </c>
      <c r="EK269">
        <v>0</v>
      </c>
      <c r="EL269" t="s">
        <v>22</v>
      </c>
      <c r="EM269" t="s">
        <v>23</v>
      </c>
      <c r="EO269" t="s">
        <v>3</v>
      </c>
      <c r="EQ269">
        <v>1024</v>
      </c>
      <c r="ER269">
        <v>778.04</v>
      </c>
      <c r="ES269">
        <v>0</v>
      </c>
      <c r="ET269">
        <v>0</v>
      </c>
      <c r="EU269">
        <v>0</v>
      </c>
      <c r="EV269">
        <v>778.04</v>
      </c>
      <c r="EW269">
        <v>1.26</v>
      </c>
      <c r="EX269">
        <v>0</v>
      </c>
      <c r="EY269">
        <v>0</v>
      </c>
      <c r="FQ269">
        <v>0</v>
      </c>
      <c r="FR269">
        <f t="shared" ref="FR269:FR290" si="274">ROUND(IF(BI269=3,GM269,0),2)</f>
        <v>0</v>
      </c>
      <c r="FS269">
        <v>0</v>
      </c>
      <c r="FX269">
        <v>70</v>
      </c>
      <c r="FY269">
        <v>10</v>
      </c>
      <c r="GA269" t="s">
        <v>3</v>
      </c>
      <c r="GD269">
        <v>0</v>
      </c>
      <c r="GF269">
        <v>1084928283</v>
      </c>
      <c r="GG269">
        <v>2</v>
      </c>
      <c r="GH269">
        <v>1</v>
      </c>
      <c r="GI269">
        <v>-2</v>
      </c>
      <c r="GJ269">
        <v>0</v>
      </c>
      <c r="GK269">
        <f>ROUND(R269*(R12)/100,2)</f>
        <v>0</v>
      </c>
      <c r="GL269">
        <f t="shared" ref="GL269:GL290" si="275">ROUND(IF(AND(BH269=3,BI269=3,FS269&lt;&gt;0),P269,0),2)</f>
        <v>0</v>
      </c>
      <c r="GM269">
        <f t="shared" ref="GM269:GM290" si="276">ROUND(O269+X269+Y269+GK269,2)+GX269</f>
        <v>35712.03</v>
      </c>
      <c r="GN269">
        <f t="shared" ref="GN269:GN290" si="277">IF(OR(BI269=0,BI269=1),GM269-GX269,0)</f>
        <v>0</v>
      </c>
      <c r="GO269">
        <f t="shared" ref="GO269:GO290" si="278">IF(BI269=2,GM269-GX269,0)</f>
        <v>0</v>
      </c>
      <c r="GP269">
        <f t="shared" ref="GP269:GP290" si="279">IF(BI269=4,GM269-GX269,0)</f>
        <v>35712.03</v>
      </c>
      <c r="GR269">
        <v>0</v>
      </c>
      <c r="GS269">
        <v>3</v>
      </c>
      <c r="GT269">
        <v>0</v>
      </c>
      <c r="GU269" t="s">
        <v>3</v>
      </c>
      <c r="GV269">
        <f t="shared" ref="GV269:GV290" si="280">ROUND((GT269),6)</f>
        <v>0</v>
      </c>
      <c r="GW269">
        <v>1</v>
      </c>
      <c r="GX269">
        <f t="shared" ref="GX269:GX290" si="281">ROUND(HC269*I269,2)</f>
        <v>0</v>
      </c>
      <c r="HA269">
        <v>0</v>
      </c>
      <c r="HB269">
        <v>0</v>
      </c>
      <c r="HC269">
        <f t="shared" ref="HC269:HC290" si="282">GV269*GW269</f>
        <v>0</v>
      </c>
      <c r="HE269" t="s">
        <v>3</v>
      </c>
      <c r="HF269" t="s">
        <v>3</v>
      </c>
      <c r="HM269" t="s">
        <v>3</v>
      </c>
      <c r="HN269" t="s">
        <v>3</v>
      </c>
      <c r="HO269" t="s">
        <v>3</v>
      </c>
      <c r="HP269" t="s">
        <v>3</v>
      </c>
      <c r="HQ269" t="s">
        <v>3</v>
      </c>
      <c r="IK269">
        <v>0</v>
      </c>
    </row>
    <row r="270" spans="1:245" x14ac:dyDescent="0.2">
      <c r="A270">
        <v>17</v>
      </c>
      <c r="B270">
        <v>1</v>
      </c>
      <c r="D270">
        <f>ROW(EtalonRes!A131)</f>
        <v>131</v>
      </c>
      <c r="E270" t="s">
        <v>3</v>
      </c>
      <c r="F270" t="s">
        <v>284</v>
      </c>
      <c r="G270" t="s">
        <v>285</v>
      </c>
      <c r="H270" t="s">
        <v>31</v>
      </c>
      <c r="I270">
        <f>ROUND(15*1/10,9)</f>
        <v>1.5</v>
      </c>
      <c r="J270">
        <v>0</v>
      </c>
      <c r="K270">
        <f>ROUND(15*1/10,9)</f>
        <v>1.5</v>
      </c>
      <c r="O270">
        <f t="shared" si="250"/>
        <v>3621.51</v>
      </c>
      <c r="P270">
        <f t="shared" si="251"/>
        <v>0</v>
      </c>
      <c r="Q270">
        <f t="shared" si="252"/>
        <v>0</v>
      </c>
      <c r="R270">
        <f t="shared" si="253"/>
        <v>0</v>
      </c>
      <c r="S270">
        <f t="shared" si="254"/>
        <v>3621.51</v>
      </c>
      <c r="T270">
        <f t="shared" si="255"/>
        <v>0</v>
      </c>
      <c r="U270">
        <f t="shared" si="256"/>
        <v>5.8650000000000002</v>
      </c>
      <c r="V270">
        <f t="shared" si="257"/>
        <v>0</v>
      </c>
      <c r="W270">
        <f t="shared" si="258"/>
        <v>0</v>
      </c>
      <c r="X270">
        <f t="shared" si="259"/>
        <v>2535.06</v>
      </c>
      <c r="Y270">
        <f t="shared" si="260"/>
        <v>362.15</v>
      </c>
      <c r="AA270">
        <v>-1</v>
      </c>
      <c r="AB270">
        <f t="shared" si="261"/>
        <v>2414.34</v>
      </c>
      <c r="AC270">
        <f>ROUND(((ES270*17)),6)</f>
        <v>0</v>
      </c>
      <c r="AD270">
        <f>ROUND(((((ET270*17))-((EU270*17)))+AE270),6)</f>
        <v>0</v>
      </c>
      <c r="AE270">
        <f>ROUND(((EU270*17)),6)</f>
        <v>0</v>
      </c>
      <c r="AF270">
        <f>ROUND(((EV270*17)),6)</f>
        <v>2414.34</v>
      </c>
      <c r="AG270">
        <f t="shared" si="262"/>
        <v>0</v>
      </c>
      <c r="AH270">
        <f>((EW270*17))</f>
        <v>3.91</v>
      </c>
      <c r="AI270">
        <f>((EX270*17))</f>
        <v>0</v>
      </c>
      <c r="AJ270">
        <f t="shared" si="263"/>
        <v>0</v>
      </c>
      <c r="AK270">
        <v>142.02000000000001</v>
      </c>
      <c r="AL270">
        <v>0</v>
      </c>
      <c r="AM270">
        <v>0</v>
      </c>
      <c r="AN270">
        <v>0</v>
      </c>
      <c r="AO270">
        <v>142.02000000000001</v>
      </c>
      <c r="AP270">
        <v>0</v>
      </c>
      <c r="AQ270">
        <v>0.23</v>
      </c>
      <c r="AR270">
        <v>0</v>
      </c>
      <c r="AS270">
        <v>0</v>
      </c>
      <c r="AT270">
        <v>70</v>
      </c>
      <c r="AU270">
        <v>10</v>
      </c>
      <c r="AV270">
        <v>1</v>
      </c>
      <c r="AW270">
        <v>1</v>
      </c>
      <c r="AZ270">
        <v>1</v>
      </c>
      <c r="BA270">
        <v>1</v>
      </c>
      <c r="BB270">
        <v>1</v>
      </c>
      <c r="BC270">
        <v>1</v>
      </c>
      <c r="BD270" t="s">
        <v>3</v>
      </c>
      <c r="BE270" t="s">
        <v>3</v>
      </c>
      <c r="BF270" t="s">
        <v>3</v>
      </c>
      <c r="BG270" t="s">
        <v>3</v>
      </c>
      <c r="BH270">
        <v>0</v>
      </c>
      <c r="BI270">
        <v>4</v>
      </c>
      <c r="BJ270" t="s">
        <v>286</v>
      </c>
      <c r="BM270">
        <v>0</v>
      </c>
      <c r="BN270">
        <v>0</v>
      </c>
      <c r="BO270" t="s">
        <v>3</v>
      </c>
      <c r="BP270">
        <v>0</v>
      </c>
      <c r="BQ270">
        <v>1</v>
      </c>
      <c r="BR270">
        <v>0</v>
      </c>
      <c r="BS270">
        <v>1</v>
      </c>
      <c r="BT270">
        <v>1</v>
      </c>
      <c r="BU270">
        <v>1</v>
      </c>
      <c r="BV270">
        <v>1</v>
      </c>
      <c r="BW270">
        <v>1</v>
      </c>
      <c r="BX270">
        <v>1</v>
      </c>
      <c r="BY270" t="s">
        <v>3</v>
      </c>
      <c r="BZ270">
        <v>70</v>
      </c>
      <c r="CA270">
        <v>10</v>
      </c>
      <c r="CB270" t="s">
        <v>3</v>
      </c>
      <c r="CE270">
        <v>0</v>
      </c>
      <c r="CF270">
        <v>0</v>
      </c>
      <c r="CG270">
        <v>0</v>
      </c>
      <c r="CM270">
        <v>0</v>
      </c>
      <c r="CN270" t="s">
        <v>3</v>
      </c>
      <c r="CO270">
        <v>0</v>
      </c>
      <c r="CP270">
        <f t="shared" si="264"/>
        <v>3621.51</v>
      </c>
      <c r="CQ270">
        <f t="shared" si="265"/>
        <v>0</v>
      </c>
      <c r="CR270">
        <f>(((((ET270*17))*BB270-((EU270*17))*BS270)+AE270*BS270)*AV270)</f>
        <v>0</v>
      </c>
      <c r="CS270">
        <f t="shared" si="266"/>
        <v>0</v>
      </c>
      <c r="CT270">
        <f t="shared" si="267"/>
        <v>2414.34</v>
      </c>
      <c r="CU270">
        <f t="shared" si="268"/>
        <v>0</v>
      </c>
      <c r="CV270">
        <f t="shared" si="269"/>
        <v>3.91</v>
      </c>
      <c r="CW270">
        <f t="shared" si="270"/>
        <v>0</v>
      </c>
      <c r="CX270">
        <f t="shared" si="271"/>
        <v>0</v>
      </c>
      <c r="CY270">
        <f t="shared" si="272"/>
        <v>2535.0570000000002</v>
      </c>
      <c r="CZ270">
        <f t="shared" si="273"/>
        <v>362.15100000000007</v>
      </c>
      <c r="DC270" t="s">
        <v>3</v>
      </c>
      <c r="DD270" t="s">
        <v>46</v>
      </c>
      <c r="DE270" t="s">
        <v>46</v>
      </c>
      <c r="DF270" t="s">
        <v>46</v>
      </c>
      <c r="DG270" t="s">
        <v>46</v>
      </c>
      <c r="DH270" t="s">
        <v>3</v>
      </c>
      <c r="DI270" t="s">
        <v>46</v>
      </c>
      <c r="DJ270" t="s">
        <v>46</v>
      </c>
      <c r="DK270" t="s">
        <v>3</v>
      </c>
      <c r="DL270" t="s">
        <v>3</v>
      </c>
      <c r="DM270" t="s">
        <v>3</v>
      </c>
      <c r="DN270">
        <v>0</v>
      </c>
      <c r="DO270">
        <v>0</v>
      </c>
      <c r="DP270">
        <v>1</v>
      </c>
      <c r="DQ270">
        <v>1</v>
      </c>
      <c r="DU270">
        <v>16987630</v>
      </c>
      <c r="DV270" t="s">
        <v>31</v>
      </c>
      <c r="DW270" t="s">
        <v>31</v>
      </c>
      <c r="DX270">
        <v>10</v>
      </c>
      <c r="DZ270" t="s">
        <v>3</v>
      </c>
      <c r="EA270" t="s">
        <v>3</v>
      </c>
      <c r="EB270" t="s">
        <v>3</v>
      </c>
      <c r="EC270" t="s">
        <v>3</v>
      </c>
      <c r="EE270">
        <v>1441815344</v>
      </c>
      <c r="EF270">
        <v>1</v>
      </c>
      <c r="EG270" t="s">
        <v>21</v>
      </c>
      <c r="EH270">
        <v>0</v>
      </c>
      <c r="EI270" t="s">
        <v>3</v>
      </c>
      <c r="EJ270">
        <v>4</v>
      </c>
      <c r="EK270">
        <v>0</v>
      </c>
      <c r="EL270" t="s">
        <v>22</v>
      </c>
      <c r="EM270" t="s">
        <v>23</v>
      </c>
      <c r="EO270" t="s">
        <v>3</v>
      </c>
      <c r="EQ270">
        <v>1024</v>
      </c>
      <c r="ER270">
        <v>142.02000000000001</v>
      </c>
      <c r="ES270">
        <v>0</v>
      </c>
      <c r="ET270">
        <v>0</v>
      </c>
      <c r="EU270">
        <v>0</v>
      </c>
      <c r="EV270">
        <v>142.02000000000001</v>
      </c>
      <c r="EW270">
        <v>0.23</v>
      </c>
      <c r="EX270">
        <v>0</v>
      </c>
      <c r="EY270">
        <v>0</v>
      </c>
      <c r="FQ270">
        <v>0</v>
      </c>
      <c r="FR270">
        <f t="shared" si="274"/>
        <v>0</v>
      </c>
      <c r="FS270">
        <v>0</v>
      </c>
      <c r="FX270">
        <v>70</v>
      </c>
      <c r="FY270">
        <v>10</v>
      </c>
      <c r="GA270" t="s">
        <v>3</v>
      </c>
      <c r="GD270">
        <v>0</v>
      </c>
      <c r="GF270">
        <v>-1090760773</v>
      </c>
      <c r="GG270">
        <v>2</v>
      </c>
      <c r="GH270">
        <v>1</v>
      </c>
      <c r="GI270">
        <v>-2</v>
      </c>
      <c r="GJ270">
        <v>0</v>
      </c>
      <c r="GK270">
        <f>ROUND(R270*(R12)/100,2)</f>
        <v>0</v>
      </c>
      <c r="GL270">
        <f t="shared" si="275"/>
        <v>0</v>
      </c>
      <c r="GM270">
        <f t="shared" si="276"/>
        <v>6518.72</v>
      </c>
      <c r="GN270">
        <f t="shared" si="277"/>
        <v>0</v>
      </c>
      <c r="GO270">
        <f t="shared" si="278"/>
        <v>0</v>
      </c>
      <c r="GP270">
        <f t="shared" si="279"/>
        <v>6518.72</v>
      </c>
      <c r="GR270">
        <v>0</v>
      </c>
      <c r="GS270">
        <v>3</v>
      </c>
      <c r="GT270">
        <v>0</v>
      </c>
      <c r="GU270" t="s">
        <v>3</v>
      </c>
      <c r="GV270">
        <f t="shared" si="280"/>
        <v>0</v>
      </c>
      <c r="GW270">
        <v>1</v>
      </c>
      <c r="GX270">
        <f t="shared" si="281"/>
        <v>0</v>
      </c>
      <c r="HA270">
        <v>0</v>
      </c>
      <c r="HB270">
        <v>0</v>
      </c>
      <c r="HC270">
        <f t="shared" si="282"/>
        <v>0</v>
      </c>
      <c r="HE270" t="s">
        <v>3</v>
      </c>
      <c r="HF270" t="s">
        <v>3</v>
      </c>
      <c r="HM270" t="s">
        <v>3</v>
      </c>
      <c r="HN270" t="s">
        <v>3</v>
      </c>
      <c r="HO270" t="s">
        <v>3</v>
      </c>
      <c r="HP270" t="s">
        <v>3</v>
      </c>
      <c r="HQ270" t="s">
        <v>3</v>
      </c>
      <c r="IK270">
        <v>0</v>
      </c>
    </row>
    <row r="271" spans="1:245" x14ac:dyDescent="0.2">
      <c r="A271">
        <v>17</v>
      </c>
      <c r="B271">
        <v>1</v>
      </c>
      <c r="D271">
        <f>ROW(EtalonRes!A136)</f>
        <v>136</v>
      </c>
      <c r="E271" t="s">
        <v>287</v>
      </c>
      <c r="F271" t="s">
        <v>51</v>
      </c>
      <c r="G271" t="s">
        <v>52</v>
      </c>
      <c r="H271" t="s">
        <v>53</v>
      </c>
      <c r="I271">
        <f>ROUND((15)*1/100,9)</f>
        <v>0.15</v>
      </c>
      <c r="J271">
        <v>0</v>
      </c>
      <c r="K271">
        <f>ROUND((15)*1/100,9)</f>
        <v>0.15</v>
      </c>
      <c r="O271">
        <f t="shared" si="250"/>
        <v>8066.06</v>
      </c>
      <c r="P271">
        <f t="shared" si="251"/>
        <v>116.48</v>
      </c>
      <c r="Q271">
        <f t="shared" si="252"/>
        <v>9.27</v>
      </c>
      <c r="R271">
        <f t="shared" si="253"/>
        <v>0.11</v>
      </c>
      <c r="S271">
        <f t="shared" si="254"/>
        <v>7940.31</v>
      </c>
      <c r="T271">
        <f t="shared" si="255"/>
        <v>0</v>
      </c>
      <c r="U271">
        <f t="shared" si="256"/>
        <v>15.665999999999999</v>
      </c>
      <c r="V271">
        <f t="shared" si="257"/>
        <v>0</v>
      </c>
      <c r="W271">
        <f t="shared" si="258"/>
        <v>0</v>
      </c>
      <c r="X271">
        <f t="shared" si="259"/>
        <v>5558.22</v>
      </c>
      <c r="Y271">
        <f t="shared" si="260"/>
        <v>794.03</v>
      </c>
      <c r="AA271">
        <v>1471718271</v>
      </c>
      <c r="AB271">
        <f t="shared" si="261"/>
        <v>53773.79</v>
      </c>
      <c r="AC271">
        <f>ROUND((ES271),6)</f>
        <v>776.55</v>
      </c>
      <c r="AD271">
        <f>ROUND((((ET271)-(EU271))+AE271),6)</f>
        <v>61.83</v>
      </c>
      <c r="AE271">
        <f t="shared" ref="AE271:AF273" si="283">ROUND((EU271),6)</f>
        <v>0.7</v>
      </c>
      <c r="AF271">
        <f t="shared" si="283"/>
        <v>52935.41</v>
      </c>
      <c r="AG271">
        <f t="shared" si="262"/>
        <v>0</v>
      </c>
      <c r="AH271">
        <f t="shared" ref="AH271:AI273" si="284">(EW271)</f>
        <v>104.44</v>
      </c>
      <c r="AI271">
        <f t="shared" si="284"/>
        <v>0</v>
      </c>
      <c r="AJ271">
        <f t="shared" si="263"/>
        <v>0</v>
      </c>
      <c r="AK271">
        <v>53773.79</v>
      </c>
      <c r="AL271">
        <v>776.55</v>
      </c>
      <c r="AM271">
        <v>61.83</v>
      </c>
      <c r="AN271">
        <v>0.7</v>
      </c>
      <c r="AO271">
        <v>52935.41</v>
      </c>
      <c r="AP271">
        <v>0</v>
      </c>
      <c r="AQ271">
        <v>104.44</v>
      </c>
      <c r="AR271">
        <v>0</v>
      </c>
      <c r="AS271">
        <v>0</v>
      </c>
      <c r="AT271">
        <v>70</v>
      </c>
      <c r="AU271">
        <v>10</v>
      </c>
      <c r="AV271">
        <v>1</v>
      </c>
      <c r="AW271">
        <v>1</v>
      </c>
      <c r="AZ271">
        <v>1</v>
      </c>
      <c r="BA271">
        <v>1</v>
      </c>
      <c r="BB271">
        <v>1</v>
      </c>
      <c r="BC271">
        <v>1</v>
      </c>
      <c r="BD271" t="s">
        <v>3</v>
      </c>
      <c r="BE271" t="s">
        <v>3</v>
      </c>
      <c r="BF271" t="s">
        <v>3</v>
      </c>
      <c r="BG271" t="s">
        <v>3</v>
      </c>
      <c r="BH271">
        <v>0</v>
      </c>
      <c r="BI271">
        <v>4</v>
      </c>
      <c r="BJ271" t="s">
        <v>54</v>
      </c>
      <c r="BM271">
        <v>0</v>
      </c>
      <c r="BN271">
        <v>0</v>
      </c>
      <c r="BO271" t="s">
        <v>3</v>
      </c>
      <c r="BP271">
        <v>0</v>
      </c>
      <c r="BQ271">
        <v>1</v>
      </c>
      <c r="BR271">
        <v>0</v>
      </c>
      <c r="BS271">
        <v>1</v>
      </c>
      <c r="BT271">
        <v>1</v>
      </c>
      <c r="BU271">
        <v>1</v>
      </c>
      <c r="BV271">
        <v>1</v>
      </c>
      <c r="BW271">
        <v>1</v>
      </c>
      <c r="BX271">
        <v>1</v>
      </c>
      <c r="BY271" t="s">
        <v>3</v>
      </c>
      <c r="BZ271">
        <v>70</v>
      </c>
      <c r="CA271">
        <v>10</v>
      </c>
      <c r="CB271" t="s">
        <v>3</v>
      </c>
      <c r="CE271">
        <v>0</v>
      </c>
      <c r="CF271">
        <v>0</v>
      </c>
      <c r="CG271">
        <v>0</v>
      </c>
      <c r="CM271">
        <v>0</v>
      </c>
      <c r="CN271" t="s">
        <v>3</v>
      </c>
      <c r="CO271">
        <v>0</v>
      </c>
      <c r="CP271">
        <f t="shared" si="264"/>
        <v>8066.06</v>
      </c>
      <c r="CQ271">
        <f t="shared" si="265"/>
        <v>776.55</v>
      </c>
      <c r="CR271">
        <f>((((ET271)*BB271-(EU271)*BS271)+AE271*BS271)*AV271)</f>
        <v>61.83</v>
      </c>
      <c r="CS271">
        <f t="shared" si="266"/>
        <v>0.7</v>
      </c>
      <c r="CT271">
        <f t="shared" si="267"/>
        <v>52935.41</v>
      </c>
      <c r="CU271">
        <f t="shared" si="268"/>
        <v>0</v>
      </c>
      <c r="CV271">
        <f t="shared" si="269"/>
        <v>104.44</v>
      </c>
      <c r="CW271">
        <f t="shared" si="270"/>
        <v>0</v>
      </c>
      <c r="CX271">
        <f t="shared" si="271"/>
        <v>0</v>
      </c>
      <c r="CY271">
        <f t="shared" si="272"/>
        <v>5558.2170000000006</v>
      </c>
      <c r="CZ271">
        <f t="shared" si="273"/>
        <v>794.03100000000006</v>
      </c>
      <c r="DC271" t="s">
        <v>3</v>
      </c>
      <c r="DD271" t="s">
        <v>3</v>
      </c>
      <c r="DE271" t="s">
        <v>3</v>
      </c>
      <c r="DF271" t="s">
        <v>3</v>
      </c>
      <c r="DG271" t="s">
        <v>3</v>
      </c>
      <c r="DH271" t="s">
        <v>3</v>
      </c>
      <c r="DI271" t="s">
        <v>3</v>
      </c>
      <c r="DJ271" t="s">
        <v>3</v>
      </c>
      <c r="DK271" t="s">
        <v>3</v>
      </c>
      <c r="DL271" t="s">
        <v>3</v>
      </c>
      <c r="DM271" t="s">
        <v>3</v>
      </c>
      <c r="DN271">
        <v>0</v>
      </c>
      <c r="DO271">
        <v>0</v>
      </c>
      <c r="DP271">
        <v>1</v>
      </c>
      <c r="DQ271">
        <v>1</v>
      </c>
      <c r="DU271">
        <v>16987630</v>
      </c>
      <c r="DV271" t="s">
        <v>53</v>
      </c>
      <c r="DW271" t="s">
        <v>53</v>
      </c>
      <c r="DX271">
        <v>100</v>
      </c>
      <c r="DZ271" t="s">
        <v>3</v>
      </c>
      <c r="EA271" t="s">
        <v>3</v>
      </c>
      <c r="EB271" t="s">
        <v>3</v>
      </c>
      <c r="EC271" t="s">
        <v>3</v>
      </c>
      <c r="EE271">
        <v>1441815344</v>
      </c>
      <c r="EF271">
        <v>1</v>
      </c>
      <c r="EG271" t="s">
        <v>21</v>
      </c>
      <c r="EH271">
        <v>0</v>
      </c>
      <c r="EI271" t="s">
        <v>3</v>
      </c>
      <c r="EJ271">
        <v>4</v>
      </c>
      <c r="EK271">
        <v>0</v>
      </c>
      <c r="EL271" t="s">
        <v>22</v>
      </c>
      <c r="EM271" t="s">
        <v>23</v>
      </c>
      <c r="EO271" t="s">
        <v>3</v>
      </c>
      <c r="EQ271">
        <v>0</v>
      </c>
      <c r="ER271">
        <v>53773.79</v>
      </c>
      <c r="ES271">
        <v>776.55</v>
      </c>
      <c r="ET271">
        <v>61.83</v>
      </c>
      <c r="EU271">
        <v>0.7</v>
      </c>
      <c r="EV271">
        <v>52935.41</v>
      </c>
      <c r="EW271">
        <v>104.44</v>
      </c>
      <c r="EX271">
        <v>0</v>
      </c>
      <c r="EY271">
        <v>0</v>
      </c>
      <c r="FQ271">
        <v>0</v>
      </c>
      <c r="FR271">
        <f t="shared" si="274"/>
        <v>0</v>
      </c>
      <c r="FS271">
        <v>0</v>
      </c>
      <c r="FX271">
        <v>70</v>
      </c>
      <c r="FY271">
        <v>10</v>
      </c>
      <c r="GA271" t="s">
        <v>3</v>
      </c>
      <c r="GD271">
        <v>0</v>
      </c>
      <c r="GF271">
        <v>-36092940</v>
      </c>
      <c r="GG271">
        <v>2</v>
      </c>
      <c r="GH271">
        <v>1</v>
      </c>
      <c r="GI271">
        <v>-2</v>
      </c>
      <c r="GJ271">
        <v>0</v>
      </c>
      <c r="GK271">
        <f>ROUND(R271*(R12)/100,2)</f>
        <v>0.12</v>
      </c>
      <c r="GL271">
        <f t="shared" si="275"/>
        <v>0</v>
      </c>
      <c r="GM271">
        <f t="shared" si="276"/>
        <v>14418.43</v>
      </c>
      <c r="GN271">
        <f t="shared" si="277"/>
        <v>0</v>
      </c>
      <c r="GO271">
        <f t="shared" si="278"/>
        <v>0</v>
      </c>
      <c r="GP271">
        <f t="shared" si="279"/>
        <v>14418.43</v>
      </c>
      <c r="GR271">
        <v>0</v>
      </c>
      <c r="GS271">
        <v>3</v>
      </c>
      <c r="GT271">
        <v>0</v>
      </c>
      <c r="GU271" t="s">
        <v>3</v>
      </c>
      <c r="GV271">
        <f t="shared" si="280"/>
        <v>0</v>
      </c>
      <c r="GW271">
        <v>1</v>
      </c>
      <c r="GX271">
        <f t="shared" si="281"/>
        <v>0</v>
      </c>
      <c r="HA271">
        <v>0</v>
      </c>
      <c r="HB271">
        <v>0</v>
      </c>
      <c r="HC271">
        <f t="shared" si="282"/>
        <v>0</v>
      </c>
      <c r="HE271" t="s">
        <v>3</v>
      </c>
      <c r="HF271" t="s">
        <v>3</v>
      </c>
      <c r="HM271" t="s">
        <v>3</v>
      </c>
      <c r="HN271" t="s">
        <v>3</v>
      </c>
      <c r="HO271" t="s">
        <v>3</v>
      </c>
      <c r="HP271" t="s">
        <v>3</v>
      </c>
      <c r="HQ271" t="s">
        <v>3</v>
      </c>
      <c r="IK271">
        <v>0</v>
      </c>
    </row>
    <row r="272" spans="1:245" x14ac:dyDescent="0.2">
      <c r="A272">
        <v>17</v>
      </c>
      <c r="B272">
        <v>1</v>
      </c>
      <c r="D272">
        <f>ROW(EtalonRes!A141)</f>
        <v>141</v>
      </c>
      <c r="E272" t="s">
        <v>288</v>
      </c>
      <c r="F272" t="s">
        <v>56</v>
      </c>
      <c r="G272" t="s">
        <v>57</v>
      </c>
      <c r="H272" t="s">
        <v>53</v>
      </c>
      <c r="I272">
        <f>ROUND((15)*1/100,9)</f>
        <v>0.15</v>
      </c>
      <c r="J272">
        <v>0</v>
      </c>
      <c r="K272">
        <f>ROUND((15)*1/100,9)</f>
        <v>0.15</v>
      </c>
      <c r="O272">
        <f t="shared" si="250"/>
        <v>11676.61</v>
      </c>
      <c r="P272">
        <f t="shared" si="251"/>
        <v>116.48</v>
      </c>
      <c r="Q272">
        <f t="shared" si="252"/>
        <v>9.27</v>
      </c>
      <c r="R272">
        <f t="shared" si="253"/>
        <v>0.11</v>
      </c>
      <c r="S272">
        <f t="shared" si="254"/>
        <v>11550.86</v>
      </c>
      <c r="T272">
        <f t="shared" si="255"/>
        <v>0</v>
      </c>
      <c r="U272">
        <f t="shared" si="256"/>
        <v>22.7895</v>
      </c>
      <c r="V272">
        <f t="shared" si="257"/>
        <v>0</v>
      </c>
      <c r="W272">
        <f t="shared" si="258"/>
        <v>0</v>
      </c>
      <c r="X272">
        <f t="shared" si="259"/>
        <v>8085.6</v>
      </c>
      <c r="Y272">
        <f t="shared" si="260"/>
        <v>1155.0899999999999</v>
      </c>
      <c r="AA272">
        <v>1471718271</v>
      </c>
      <c r="AB272">
        <f t="shared" si="261"/>
        <v>77844.100000000006</v>
      </c>
      <c r="AC272">
        <f>ROUND((ES272),6)</f>
        <v>776.55</v>
      </c>
      <c r="AD272">
        <f>ROUND((((ET272)-(EU272))+AE272),6)</f>
        <v>61.83</v>
      </c>
      <c r="AE272">
        <f t="shared" si="283"/>
        <v>0.7</v>
      </c>
      <c r="AF272">
        <f t="shared" si="283"/>
        <v>77005.72</v>
      </c>
      <c r="AG272">
        <f t="shared" si="262"/>
        <v>0</v>
      </c>
      <c r="AH272">
        <f t="shared" si="284"/>
        <v>151.93</v>
      </c>
      <c r="AI272">
        <f t="shared" si="284"/>
        <v>0</v>
      </c>
      <c r="AJ272">
        <f t="shared" si="263"/>
        <v>0</v>
      </c>
      <c r="AK272">
        <v>77844.100000000006</v>
      </c>
      <c r="AL272">
        <v>776.55</v>
      </c>
      <c r="AM272">
        <v>61.83</v>
      </c>
      <c r="AN272">
        <v>0.7</v>
      </c>
      <c r="AO272">
        <v>77005.72</v>
      </c>
      <c r="AP272">
        <v>0</v>
      </c>
      <c r="AQ272">
        <v>151.93</v>
      </c>
      <c r="AR272">
        <v>0</v>
      </c>
      <c r="AS272">
        <v>0</v>
      </c>
      <c r="AT272">
        <v>70</v>
      </c>
      <c r="AU272">
        <v>10</v>
      </c>
      <c r="AV272">
        <v>1</v>
      </c>
      <c r="AW272">
        <v>1</v>
      </c>
      <c r="AZ272">
        <v>1</v>
      </c>
      <c r="BA272">
        <v>1</v>
      </c>
      <c r="BB272">
        <v>1</v>
      </c>
      <c r="BC272">
        <v>1</v>
      </c>
      <c r="BD272" t="s">
        <v>3</v>
      </c>
      <c r="BE272" t="s">
        <v>3</v>
      </c>
      <c r="BF272" t="s">
        <v>3</v>
      </c>
      <c r="BG272" t="s">
        <v>3</v>
      </c>
      <c r="BH272">
        <v>0</v>
      </c>
      <c r="BI272">
        <v>4</v>
      </c>
      <c r="BJ272" t="s">
        <v>58</v>
      </c>
      <c r="BM272">
        <v>0</v>
      </c>
      <c r="BN272">
        <v>0</v>
      </c>
      <c r="BO272" t="s">
        <v>3</v>
      </c>
      <c r="BP272">
        <v>0</v>
      </c>
      <c r="BQ272">
        <v>1</v>
      </c>
      <c r="BR272">
        <v>0</v>
      </c>
      <c r="BS272">
        <v>1</v>
      </c>
      <c r="BT272">
        <v>1</v>
      </c>
      <c r="BU272">
        <v>1</v>
      </c>
      <c r="BV272">
        <v>1</v>
      </c>
      <c r="BW272">
        <v>1</v>
      </c>
      <c r="BX272">
        <v>1</v>
      </c>
      <c r="BY272" t="s">
        <v>3</v>
      </c>
      <c r="BZ272">
        <v>70</v>
      </c>
      <c r="CA272">
        <v>10</v>
      </c>
      <c r="CB272" t="s">
        <v>3</v>
      </c>
      <c r="CE272">
        <v>0</v>
      </c>
      <c r="CF272">
        <v>0</v>
      </c>
      <c r="CG272">
        <v>0</v>
      </c>
      <c r="CM272">
        <v>0</v>
      </c>
      <c r="CN272" t="s">
        <v>3</v>
      </c>
      <c r="CO272">
        <v>0</v>
      </c>
      <c r="CP272">
        <f t="shared" si="264"/>
        <v>11676.61</v>
      </c>
      <c r="CQ272">
        <f t="shared" si="265"/>
        <v>776.55</v>
      </c>
      <c r="CR272">
        <f>((((ET272)*BB272-(EU272)*BS272)+AE272*BS272)*AV272)</f>
        <v>61.83</v>
      </c>
      <c r="CS272">
        <f t="shared" si="266"/>
        <v>0.7</v>
      </c>
      <c r="CT272">
        <f t="shared" si="267"/>
        <v>77005.72</v>
      </c>
      <c r="CU272">
        <f t="shared" si="268"/>
        <v>0</v>
      </c>
      <c r="CV272">
        <f t="shared" si="269"/>
        <v>151.93</v>
      </c>
      <c r="CW272">
        <f t="shared" si="270"/>
        <v>0</v>
      </c>
      <c r="CX272">
        <f t="shared" si="271"/>
        <v>0</v>
      </c>
      <c r="CY272">
        <f t="shared" si="272"/>
        <v>8085.6020000000008</v>
      </c>
      <c r="CZ272">
        <f t="shared" si="273"/>
        <v>1155.086</v>
      </c>
      <c r="DC272" t="s">
        <v>3</v>
      </c>
      <c r="DD272" t="s">
        <v>3</v>
      </c>
      <c r="DE272" t="s">
        <v>3</v>
      </c>
      <c r="DF272" t="s">
        <v>3</v>
      </c>
      <c r="DG272" t="s">
        <v>3</v>
      </c>
      <c r="DH272" t="s">
        <v>3</v>
      </c>
      <c r="DI272" t="s">
        <v>3</v>
      </c>
      <c r="DJ272" t="s">
        <v>3</v>
      </c>
      <c r="DK272" t="s">
        <v>3</v>
      </c>
      <c r="DL272" t="s">
        <v>3</v>
      </c>
      <c r="DM272" t="s">
        <v>3</v>
      </c>
      <c r="DN272">
        <v>0</v>
      </c>
      <c r="DO272">
        <v>0</v>
      </c>
      <c r="DP272">
        <v>1</v>
      </c>
      <c r="DQ272">
        <v>1</v>
      </c>
      <c r="DU272">
        <v>16987630</v>
      </c>
      <c r="DV272" t="s">
        <v>53</v>
      </c>
      <c r="DW272" t="s">
        <v>53</v>
      </c>
      <c r="DX272">
        <v>100</v>
      </c>
      <c r="DZ272" t="s">
        <v>3</v>
      </c>
      <c r="EA272" t="s">
        <v>3</v>
      </c>
      <c r="EB272" t="s">
        <v>3</v>
      </c>
      <c r="EC272" t="s">
        <v>3</v>
      </c>
      <c r="EE272">
        <v>1441815344</v>
      </c>
      <c r="EF272">
        <v>1</v>
      </c>
      <c r="EG272" t="s">
        <v>21</v>
      </c>
      <c r="EH272">
        <v>0</v>
      </c>
      <c r="EI272" t="s">
        <v>3</v>
      </c>
      <c r="EJ272">
        <v>4</v>
      </c>
      <c r="EK272">
        <v>0</v>
      </c>
      <c r="EL272" t="s">
        <v>22</v>
      </c>
      <c r="EM272" t="s">
        <v>23</v>
      </c>
      <c r="EO272" t="s">
        <v>3</v>
      </c>
      <c r="EQ272">
        <v>0</v>
      </c>
      <c r="ER272">
        <v>77844.100000000006</v>
      </c>
      <c r="ES272">
        <v>776.55</v>
      </c>
      <c r="ET272">
        <v>61.83</v>
      </c>
      <c r="EU272">
        <v>0.7</v>
      </c>
      <c r="EV272">
        <v>77005.72</v>
      </c>
      <c r="EW272">
        <v>151.93</v>
      </c>
      <c r="EX272">
        <v>0</v>
      </c>
      <c r="EY272">
        <v>0</v>
      </c>
      <c r="FQ272">
        <v>0</v>
      </c>
      <c r="FR272">
        <f t="shared" si="274"/>
        <v>0</v>
      </c>
      <c r="FS272">
        <v>0</v>
      </c>
      <c r="FX272">
        <v>70</v>
      </c>
      <c r="FY272">
        <v>10</v>
      </c>
      <c r="GA272" t="s">
        <v>3</v>
      </c>
      <c r="GD272">
        <v>0</v>
      </c>
      <c r="GF272">
        <v>1944845796</v>
      </c>
      <c r="GG272">
        <v>2</v>
      </c>
      <c r="GH272">
        <v>1</v>
      </c>
      <c r="GI272">
        <v>-2</v>
      </c>
      <c r="GJ272">
        <v>0</v>
      </c>
      <c r="GK272">
        <f>ROUND(R272*(R12)/100,2)</f>
        <v>0.12</v>
      </c>
      <c r="GL272">
        <f t="shared" si="275"/>
        <v>0</v>
      </c>
      <c r="GM272">
        <f t="shared" si="276"/>
        <v>20917.419999999998</v>
      </c>
      <c r="GN272">
        <f t="shared" si="277"/>
        <v>0</v>
      </c>
      <c r="GO272">
        <f t="shared" si="278"/>
        <v>0</v>
      </c>
      <c r="GP272">
        <f t="shared" si="279"/>
        <v>20917.419999999998</v>
      </c>
      <c r="GR272">
        <v>0</v>
      </c>
      <c r="GS272">
        <v>3</v>
      </c>
      <c r="GT272">
        <v>0</v>
      </c>
      <c r="GU272" t="s">
        <v>3</v>
      </c>
      <c r="GV272">
        <f t="shared" si="280"/>
        <v>0</v>
      </c>
      <c r="GW272">
        <v>1</v>
      </c>
      <c r="GX272">
        <f t="shared" si="281"/>
        <v>0</v>
      </c>
      <c r="HA272">
        <v>0</v>
      </c>
      <c r="HB272">
        <v>0</v>
      </c>
      <c r="HC272">
        <f t="shared" si="282"/>
        <v>0</v>
      </c>
      <c r="HE272" t="s">
        <v>3</v>
      </c>
      <c r="HF272" t="s">
        <v>3</v>
      </c>
      <c r="HM272" t="s">
        <v>3</v>
      </c>
      <c r="HN272" t="s">
        <v>3</v>
      </c>
      <c r="HO272" t="s">
        <v>3</v>
      </c>
      <c r="HP272" t="s">
        <v>3</v>
      </c>
      <c r="HQ272" t="s">
        <v>3</v>
      </c>
      <c r="IK272">
        <v>0</v>
      </c>
    </row>
    <row r="273" spans="1:245" x14ac:dyDescent="0.2">
      <c r="A273">
        <v>17</v>
      </c>
      <c r="B273">
        <v>1</v>
      </c>
      <c r="D273">
        <f>ROW(EtalonRes!A142)</f>
        <v>142</v>
      </c>
      <c r="E273" t="s">
        <v>289</v>
      </c>
      <c r="F273" t="s">
        <v>71</v>
      </c>
      <c r="G273" t="s">
        <v>72</v>
      </c>
      <c r="H273" t="s">
        <v>73</v>
      </c>
      <c r="I273">
        <f>ROUND(15*1/100,9)</f>
        <v>0.15</v>
      </c>
      <c r="J273">
        <v>0</v>
      </c>
      <c r="K273">
        <f>ROUND(15*1/100,9)</f>
        <v>0.15</v>
      </c>
      <c r="O273">
        <f t="shared" si="250"/>
        <v>2384.42</v>
      </c>
      <c r="P273">
        <f t="shared" si="251"/>
        <v>0</v>
      </c>
      <c r="Q273">
        <f t="shared" si="252"/>
        <v>0</v>
      </c>
      <c r="R273">
        <f t="shared" si="253"/>
        <v>0</v>
      </c>
      <c r="S273">
        <f t="shared" si="254"/>
        <v>2384.42</v>
      </c>
      <c r="T273">
        <f t="shared" si="255"/>
        <v>0</v>
      </c>
      <c r="U273">
        <f t="shared" si="256"/>
        <v>4.0049999999999999</v>
      </c>
      <c r="V273">
        <f t="shared" si="257"/>
        <v>0</v>
      </c>
      <c r="W273">
        <f t="shared" si="258"/>
        <v>0</v>
      </c>
      <c r="X273">
        <f t="shared" si="259"/>
        <v>1669.09</v>
      </c>
      <c r="Y273">
        <f t="shared" si="260"/>
        <v>238.44</v>
      </c>
      <c r="AA273">
        <v>1471718271</v>
      </c>
      <c r="AB273">
        <f t="shared" si="261"/>
        <v>15896.11</v>
      </c>
      <c r="AC273">
        <f>ROUND((ES273),6)</f>
        <v>0</v>
      </c>
      <c r="AD273">
        <f>ROUND((((ET273)-(EU273))+AE273),6)</f>
        <v>0</v>
      </c>
      <c r="AE273">
        <f t="shared" si="283"/>
        <v>0</v>
      </c>
      <c r="AF273">
        <f t="shared" si="283"/>
        <v>15896.11</v>
      </c>
      <c r="AG273">
        <f t="shared" si="262"/>
        <v>0</v>
      </c>
      <c r="AH273">
        <f t="shared" si="284"/>
        <v>26.7</v>
      </c>
      <c r="AI273">
        <f t="shared" si="284"/>
        <v>0</v>
      </c>
      <c r="AJ273">
        <f t="shared" si="263"/>
        <v>0</v>
      </c>
      <c r="AK273">
        <v>15896.11</v>
      </c>
      <c r="AL273">
        <v>0</v>
      </c>
      <c r="AM273">
        <v>0</v>
      </c>
      <c r="AN273">
        <v>0</v>
      </c>
      <c r="AO273">
        <v>15896.11</v>
      </c>
      <c r="AP273">
        <v>0</v>
      </c>
      <c r="AQ273">
        <v>26.7</v>
      </c>
      <c r="AR273">
        <v>0</v>
      </c>
      <c r="AS273">
        <v>0</v>
      </c>
      <c r="AT273">
        <v>70</v>
      </c>
      <c r="AU273">
        <v>10</v>
      </c>
      <c r="AV273">
        <v>1</v>
      </c>
      <c r="AW273">
        <v>1</v>
      </c>
      <c r="AZ273">
        <v>1</v>
      </c>
      <c r="BA273">
        <v>1</v>
      </c>
      <c r="BB273">
        <v>1</v>
      </c>
      <c r="BC273">
        <v>1</v>
      </c>
      <c r="BD273" t="s">
        <v>3</v>
      </c>
      <c r="BE273" t="s">
        <v>3</v>
      </c>
      <c r="BF273" t="s">
        <v>3</v>
      </c>
      <c r="BG273" t="s">
        <v>3</v>
      </c>
      <c r="BH273">
        <v>0</v>
      </c>
      <c r="BI273">
        <v>4</v>
      </c>
      <c r="BJ273" t="s">
        <v>74</v>
      </c>
      <c r="BM273">
        <v>0</v>
      </c>
      <c r="BN273">
        <v>0</v>
      </c>
      <c r="BO273" t="s">
        <v>3</v>
      </c>
      <c r="BP273">
        <v>0</v>
      </c>
      <c r="BQ273">
        <v>1</v>
      </c>
      <c r="BR273">
        <v>0</v>
      </c>
      <c r="BS273">
        <v>1</v>
      </c>
      <c r="BT273">
        <v>1</v>
      </c>
      <c r="BU273">
        <v>1</v>
      </c>
      <c r="BV273">
        <v>1</v>
      </c>
      <c r="BW273">
        <v>1</v>
      </c>
      <c r="BX273">
        <v>1</v>
      </c>
      <c r="BY273" t="s">
        <v>3</v>
      </c>
      <c r="BZ273">
        <v>70</v>
      </c>
      <c r="CA273">
        <v>10</v>
      </c>
      <c r="CB273" t="s">
        <v>3</v>
      </c>
      <c r="CE273">
        <v>0</v>
      </c>
      <c r="CF273">
        <v>0</v>
      </c>
      <c r="CG273">
        <v>0</v>
      </c>
      <c r="CM273">
        <v>0</v>
      </c>
      <c r="CN273" t="s">
        <v>3</v>
      </c>
      <c r="CO273">
        <v>0</v>
      </c>
      <c r="CP273">
        <f t="shared" si="264"/>
        <v>2384.42</v>
      </c>
      <c r="CQ273">
        <f t="shared" si="265"/>
        <v>0</v>
      </c>
      <c r="CR273">
        <f>((((ET273)*BB273-(EU273)*BS273)+AE273*BS273)*AV273)</f>
        <v>0</v>
      </c>
      <c r="CS273">
        <f t="shared" si="266"/>
        <v>0</v>
      </c>
      <c r="CT273">
        <f t="shared" si="267"/>
        <v>15896.11</v>
      </c>
      <c r="CU273">
        <f t="shared" si="268"/>
        <v>0</v>
      </c>
      <c r="CV273">
        <f t="shared" si="269"/>
        <v>26.7</v>
      </c>
      <c r="CW273">
        <f t="shared" si="270"/>
        <v>0</v>
      </c>
      <c r="CX273">
        <f t="shared" si="271"/>
        <v>0</v>
      </c>
      <c r="CY273">
        <f t="shared" si="272"/>
        <v>1669.0940000000001</v>
      </c>
      <c r="CZ273">
        <f t="shared" si="273"/>
        <v>238.44200000000001</v>
      </c>
      <c r="DC273" t="s">
        <v>3</v>
      </c>
      <c r="DD273" t="s">
        <v>3</v>
      </c>
      <c r="DE273" t="s">
        <v>3</v>
      </c>
      <c r="DF273" t="s">
        <v>3</v>
      </c>
      <c r="DG273" t="s">
        <v>3</v>
      </c>
      <c r="DH273" t="s">
        <v>3</v>
      </c>
      <c r="DI273" t="s">
        <v>3</v>
      </c>
      <c r="DJ273" t="s">
        <v>3</v>
      </c>
      <c r="DK273" t="s">
        <v>3</v>
      </c>
      <c r="DL273" t="s">
        <v>3</v>
      </c>
      <c r="DM273" t="s">
        <v>3</v>
      </c>
      <c r="DN273">
        <v>0</v>
      </c>
      <c r="DO273">
        <v>0</v>
      </c>
      <c r="DP273">
        <v>1</v>
      </c>
      <c r="DQ273">
        <v>1</v>
      </c>
      <c r="DU273">
        <v>1013</v>
      </c>
      <c r="DV273" t="s">
        <v>73</v>
      </c>
      <c r="DW273" t="s">
        <v>73</v>
      </c>
      <c r="DX273">
        <v>1</v>
      </c>
      <c r="DZ273" t="s">
        <v>3</v>
      </c>
      <c r="EA273" t="s">
        <v>3</v>
      </c>
      <c r="EB273" t="s">
        <v>3</v>
      </c>
      <c r="EC273" t="s">
        <v>3</v>
      </c>
      <c r="EE273">
        <v>1441815344</v>
      </c>
      <c r="EF273">
        <v>1</v>
      </c>
      <c r="EG273" t="s">
        <v>21</v>
      </c>
      <c r="EH273">
        <v>0</v>
      </c>
      <c r="EI273" t="s">
        <v>3</v>
      </c>
      <c r="EJ273">
        <v>4</v>
      </c>
      <c r="EK273">
        <v>0</v>
      </c>
      <c r="EL273" t="s">
        <v>22</v>
      </c>
      <c r="EM273" t="s">
        <v>23</v>
      </c>
      <c r="EO273" t="s">
        <v>3</v>
      </c>
      <c r="EQ273">
        <v>0</v>
      </c>
      <c r="ER273">
        <v>15896.11</v>
      </c>
      <c r="ES273">
        <v>0</v>
      </c>
      <c r="ET273">
        <v>0</v>
      </c>
      <c r="EU273">
        <v>0</v>
      </c>
      <c r="EV273">
        <v>15896.11</v>
      </c>
      <c r="EW273">
        <v>26.7</v>
      </c>
      <c r="EX273">
        <v>0</v>
      </c>
      <c r="EY273">
        <v>0</v>
      </c>
      <c r="FQ273">
        <v>0</v>
      </c>
      <c r="FR273">
        <f t="shared" si="274"/>
        <v>0</v>
      </c>
      <c r="FS273">
        <v>0</v>
      </c>
      <c r="FX273">
        <v>70</v>
      </c>
      <c r="FY273">
        <v>10</v>
      </c>
      <c r="GA273" t="s">
        <v>3</v>
      </c>
      <c r="GD273">
        <v>0</v>
      </c>
      <c r="GF273">
        <v>-1089660975</v>
      </c>
      <c r="GG273">
        <v>2</v>
      </c>
      <c r="GH273">
        <v>1</v>
      </c>
      <c r="GI273">
        <v>-2</v>
      </c>
      <c r="GJ273">
        <v>0</v>
      </c>
      <c r="GK273">
        <f>ROUND(R273*(R12)/100,2)</f>
        <v>0</v>
      </c>
      <c r="GL273">
        <f t="shared" si="275"/>
        <v>0</v>
      </c>
      <c r="GM273">
        <f t="shared" si="276"/>
        <v>4291.95</v>
      </c>
      <c r="GN273">
        <f t="shared" si="277"/>
        <v>0</v>
      </c>
      <c r="GO273">
        <f t="shared" si="278"/>
        <v>0</v>
      </c>
      <c r="GP273">
        <f t="shared" si="279"/>
        <v>4291.95</v>
      </c>
      <c r="GR273">
        <v>0</v>
      </c>
      <c r="GS273">
        <v>3</v>
      </c>
      <c r="GT273">
        <v>0</v>
      </c>
      <c r="GU273" t="s">
        <v>3</v>
      </c>
      <c r="GV273">
        <f t="shared" si="280"/>
        <v>0</v>
      </c>
      <c r="GW273">
        <v>1</v>
      </c>
      <c r="GX273">
        <f t="shared" si="281"/>
        <v>0</v>
      </c>
      <c r="HA273">
        <v>0</v>
      </c>
      <c r="HB273">
        <v>0</v>
      </c>
      <c r="HC273">
        <f t="shared" si="282"/>
        <v>0</v>
      </c>
      <c r="HE273" t="s">
        <v>3</v>
      </c>
      <c r="HF273" t="s">
        <v>3</v>
      </c>
      <c r="HM273" t="s">
        <v>3</v>
      </c>
      <c r="HN273" t="s">
        <v>3</v>
      </c>
      <c r="HO273" t="s">
        <v>3</v>
      </c>
      <c r="HP273" t="s">
        <v>3</v>
      </c>
      <c r="HQ273" t="s">
        <v>3</v>
      </c>
      <c r="IK273">
        <v>0</v>
      </c>
    </row>
    <row r="274" spans="1:245" x14ac:dyDescent="0.2">
      <c r="A274">
        <v>17</v>
      </c>
      <c r="B274">
        <v>1</v>
      </c>
      <c r="D274">
        <f>ROW(EtalonRes!A143)</f>
        <v>143</v>
      </c>
      <c r="E274" t="s">
        <v>3</v>
      </c>
      <c r="F274" t="s">
        <v>63</v>
      </c>
      <c r="G274" t="s">
        <v>64</v>
      </c>
      <c r="H274" t="s">
        <v>36</v>
      </c>
      <c r="I274">
        <v>39</v>
      </c>
      <c r="J274">
        <v>0</v>
      </c>
      <c r="K274">
        <v>39</v>
      </c>
      <c r="O274">
        <f t="shared" si="250"/>
        <v>157978.07999999999</v>
      </c>
      <c r="P274">
        <f t="shared" si="251"/>
        <v>0</v>
      </c>
      <c r="Q274">
        <f t="shared" si="252"/>
        <v>0</v>
      </c>
      <c r="R274">
        <f t="shared" si="253"/>
        <v>0</v>
      </c>
      <c r="S274">
        <f t="shared" si="254"/>
        <v>157978.07999999999</v>
      </c>
      <c r="T274">
        <f t="shared" si="255"/>
        <v>0</v>
      </c>
      <c r="U274">
        <f t="shared" si="256"/>
        <v>255.83999999999997</v>
      </c>
      <c r="V274">
        <f t="shared" si="257"/>
        <v>0</v>
      </c>
      <c r="W274">
        <f t="shared" si="258"/>
        <v>0</v>
      </c>
      <c r="X274">
        <f t="shared" si="259"/>
        <v>110584.66</v>
      </c>
      <c r="Y274">
        <f t="shared" si="260"/>
        <v>15797.81</v>
      </c>
      <c r="AA274">
        <v>-1</v>
      </c>
      <c r="AB274">
        <f t="shared" si="261"/>
        <v>4050.72</v>
      </c>
      <c r="AC274">
        <f>ROUND((ES274),6)</f>
        <v>0</v>
      </c>
      <c r="AD274">
        <f>ROUND((((ET274)-(EU274))+AE274),6)</f>
        <v>0</v>
      </c>
      <c r="AE274">
        <f>ROUND((EU274),6)</f>
        <v>0</v>
      </c>
      <c r="AF274">
        <f>ROUND(((EV274*8)),6)</f>
        <v>4050.72</v>
      </c>
      <c r="AG274">
        <f t="shared" si="262"/>
        <v>0</v>
      </c>
      <c r="AH274">
        <f>((EW274*8))</f>
        <v>6.56</v>
      </c>
      <c r="AI274">
        <f>(EX274)</f>
        <v>0</v>
      </c>
      <c r="AJ274">
        <f t="shared" si="263"/>
        <v>0</v>
      </c>
      <c r="AK274">
        <v>506.34</v>
      </c>
      <c r="AL274">
        <v>0</v>
      </c>
      <c r="AM274">
        <v>0</v>
      </c>
      <c r="AN274">
        <v>0</v>
      </c>
      <c r="AO274">
        <v>506.34</v>
      </c>
      <c r="AP274">
        <v>0</v>
      </c>
      <c r="AQ274">
        <v>0.82</v>
      </c>
      <c r="AR274">
        <v>0</v>
      </c>
      <c r="AS274">
        <v>0</v>
      </c>
      <c r="AT274">
        <v>70</v>
      </c>
      <c r="AU274">
        <v>10</v>
      </c>
      <c r="AV274">
        <v>1</v>
      </c>
      <c r="AW274">
        <v>1</v>
      </c>
      <c r="AZ274">
        <v>1</v>
      </c>
      <c r="BA274">
        <v>1</v>
      </c>
      <c r="BB274">
        <v>1</v>
      </c>
      <c r="BC274">
        <v>1</v>
      </c>
      <c r="BD274" t="s">
        <v>3</v>
      </c>
      <c r="BE274" t="s">
        <v>3</v>
      </c>
      <c r="BF274" t="s">
        <v>3</v>
      </c>
      <c r="BG274" t="s">
        <v>3</v>
      </c>
      <c r="BH274">
        <v>0</v>
      </c>
      <c r="BI274">
        <v>4</v>
      </c>
      <c r="BJ274" t="s">
        <v>65</v>
      </c>
      <c r="BM274">
        <v>0</v>
      </c>
      <c r="BN274">
        <v>0</v>
      </c>
      <c r="BO274" t="s">
        <v>3</v>
      </c>
      <c r="BP274">
        <v>0</v>
      </c>
      <c r="BQ274">
        <v>1</v>
      </c>
      <c r="BR274">
        <v>0</v>
      </c>
      <c r="BS274">
        <v>1</v>
      </c>
      <c r="BT274">
        <v>1</v>
      </c>
      <c r="BU274">
        <v>1</v>
      </c>
      <c r="BV274">
        <v>1</v>
      </c>
      <c r="BW274">
        <v>1</v>
      </c>
      <c r="BX274">
        <v>1</v>
      </c>
      <c r="BY274" t="s">
        <v>3</v>
      </c>
      <c r="BZ274">
        <v>70</v>
      </c>
      <c r="CA274">
        <v>10</v>
      </c>
      <c r="CB274" t="s">
        <v>3</v>
      </c>
      <c r="CE274">
        <v>0</v>
      </c>
      <c r="CF274">
        <v>0</v>
      </c>
      <c r="CG274">
        <v>0</v>
      </c>
      <c r="CM274">
        <v>0</v>
      </c>
      <c r="CN274" t="s">
        <v>3</v>
      </c>
      <c r="CO274">
        <v>0</v>
      </c>
      <c r="CP274">
        <f t="shared" si="264"/>
        <v>157978.07999999999</v>
      </c>
      <c r="CQ274">
        <f t="shared" si="265"/>
        <v>0</v>
      </c>
      <c r="CR274">
        <f>((((ET274)*BB274-(EU274)*BS274)+AE274*BS274)*AV274)</f>
        <v>0</v>
      </c>
      <c r="CS274">
        <f t="shared" si="266"/>
        <v>0</v>
      </c>
      <c r="CT274">
        <f t="shared" si="267"/>
        <v>4050.72</v>
      </c>
      <c r="CU274">
        <f t="shared" si="268"/>
        <v>0</v>
      </c>
      <c r="CV274">
        <f t="shared" si="269"/>
        <v>6.56</v>
      </c>
      <c r="CW274">
        <f t="shared" si="270"/>
        <v>0</v>
      </c>
      <c r="CX274">
        <f t="shared" si="271"/>
        <v>0</v>
      </c>
      <c r="CY274">
        <f t="shared" si="272"/>
        <v>110584.656</v>
      </c>
      <c r="CZ274">
        <f t="shared" si="273"/>
        <v>15797.807999999997</v>
      </c>
      <c r="DC274" t="s">
        <v>3</v>
      </c>
      <c r="DD274" t="s">
        <v>3</v>
      </c>
      <c r="DE274" t="s">
        <v>3</v>
      </c>
      <c r="DF274" t="s">
        <v>3</v>
      </c>
      <c r="DG274" t="s">
        <v>27</v>
      </c>
      <c r="DH274" t="s">
        <v>3</v>
      </c>
      <c r="DI274" t="s">
        <v>27</v>
      </c>
      <c r="DJ274" t="s">
        <v>3</v>
      </c>
      <c r="DK274" t="s">
        <v>3</v>
      </c>
      <c r="DL274" t="s">
        <v>3</v>
      </c>
      <c r="DM274" t="s">
        <v>3</v>
      </c>
      <c r="DN274">
        <v>0</v>
      </c>
      <c r="DO274">
        <v>0</v>
      </c>
      <c r="DP274">
        <v>1</v>
      </c>
      <c r="DQ274">
        <v>1</v>
      </c>
      <c r="DU274">
        <v>16987630</v>
      </c>
      <c r="DV274" t="s">
        <v>36</v>
      </c>
      <c r="DW274" t="s">
        <v>36</v>
      </c>
      <c r="DX274">
        <v>1</v>
      </c>
      <c r="DZ274" t="s">
        <v>3</v>
      </c>
      <c r="EA274" t="s">
        <v>3</v>
      </c>
      <c r="EB274" t="s">
        <v>3</v>
      </c>
      <c r="EC274" t="s">
        <v>3</v>
      </c>
      <c r="EE274">
        <v>1441815344</v>
      </c>
      <c r="EF274">
        <v>1</v>
      </c>
      <c r="EG274" t="s">
        <v>21</v>
      </c>
      <c r="EH274">
        <v>0</v>
      </c>
      <c r="EI274" t="s">
        <v>3</v>
      </c>
      <c r="EJ274">
        <v>4</v>
      </c>
      <c r="EK274">
        <v>0</v>
      </c>
      <c r="EL274" t="s">
        <v>22</v>
      </c>
      <c r="EM274" t="s">
        <v>23</v>
      </c>
      <c r="EO274" t="s">
        <v>3</v>
      </c>
      <c r="EQ274">
        <v>1024</v>
      </c>
      <c r="ER274">
        <v>506.34</v>
      </c>
      <c r="ES274">
        <v>0</v>
      </c>
      <c r="ET274">
        <v>0</v>
      </c>
      <c r="EU274">
        <v>0</v>
      </c>
      <c r="EV274">
        <v>506.34</v>
      </c>
      <c r="EW274">
        <v>0.82</v>
      </c>
      <c r="EX274">
        <v>0</v>
      </c>
      <c r="EY274">
        <v>0</v>
      </c>
      <c r="FQ274">
        <v>0</v>
      </c>
      <c r="FR274">
        <f t="shared" si="274"/>
        <v>0</v>
      </c>
      <c r="FS274">
        <v>0</v>
      </c>
      <c r="FX274">
        <v>70</v>
      </c>
      <c r="FY274">
        <v>10</v>
      </c>
      <c r="GA274" t="s">
        <v>3</v>
      </c>
      <c r="GD274">
        <v>0</v>
      </c>
      <c r="GF274">
        <v>1354931498</v>
      </c>
      <c r="GG274">
        <v>2</v>
      </c>
      <c r="GH274">
        <v>1</v>
      </c>
      <c r="GI274">
        <v>-2</v>
      </c>
      <c r="GJ274">
        <v>0</v>
      </c>
      <c r="GK274">
        <f>ROUND(R274*(R12)/100,2)</f>
        <v>0</v>
      </c>
      <c r="GL274">
        <f t="shared" si="275"/>
        <v>0</v>
      </c>
      <c r="GM274">
        <f t="shared" si="276"/>
        <v>284360.55</v>
      </c>
      <c r="GN274">
        <f t="shared" si="277"/>
        <v>0</v>
      </c>
      <c r="GO274">
        <f t="shared" si="278"/>
        <v>0</v>
      </c>
      <c r="GP274">
        <f t="shared" si="279"/>
        <v>284360.55</v>
      </c>
      <c r="GR274">
        <v>0</v>
      </c>
      <c r="GS274">
        <v>3</v>
      </c>
      <c r="GT274">
        <v>0</v>
      </c>
      <c r="GU274" t="s">
        <v>3</v>
      </c>
      <c r="GV274">
        <f t="shared" si="280"/>
        <v>0</v>
      </c>
      <c r="GW274">
        <v>1</v>
      </c>
      <c r="GX274">
        <f t="shared" si="281"/>
        <v>0</v>
      </c>
      <c r="HA274">
        <v>0</v>
      </c>
      <c r="HB274">
        <v>0</v>
      </c>
      <c r="HC274">
        <f t="shared" si="282"/>
        <v>0</v>
      </c>
      <c r="HE274" t="s">
        <v>3</v>
      </c>
      <c r="HF274" t="s">
        <v>3</v>
      </c>
      <c r="HM274" t="s">
        <v>3</v>
      </c>
      <c r="HN274" t="s">
        <v>3</v>
      </c>
      <c r="HO274" t="s">
        <v>3</v>
      </c>
      <c r="HP274" t="s">
        <v>3</v>
      </c>
      <c r="HQ274" t="s">
        <v>3</v>
      </c>
      <c r="IK274">
        <v>0</v>
      </c>
    </row>
    <row r="275" spans="1:245" x14ac:dyDescent="0.2">
      <c r="A275">
        <v>17</v>
      </c>
      <c r="B275">
        <v>1</v>
      </c>
      <c r="D275">
        <f>ROW(EtalonRes!A145)</f>
        <v>145</v>
      </c>
      <c r="E275" t="s">
        <v>290</v>
      </c>
      <c r="F275" t="s">
        <v>39</v>
      </c>
      <c r="G275" t="s">
        <v>69</v>
      </c>
      <c r="H275" t="s">
        <v>36</v>
      </c>
      <c r="I275">
        <f>ROUND((15)*1,9)</f>
        <v>15</v>
      </c>
      <c r="J275">
        <v>0</v>
      </c>
      <c r="K275">
        <f>ROUND((15)*1,9)</f>
        <v>15</v>
      </c>
      <c r="O275">
        <f t="shared" si="250"/>
        <v>4292.7</v>
      </c>
      <c r="P275">
        <f t="shared" si="251"/>
        <v>0</v>
      </c>
      <c r="Q275">
        <f t="shared" si="252"/>
        <v>1172.7</v>
      </c>
      <c r="R275">
        <f t="shared" si="253"/>
        <v>743.55</v>
      </c>
      <c r="S275">
        <f t="shared" si="254"/>
        <v>3120</v>
      </c>
      <c r="T275">
        <f t="shared" si="255"/>
        <v>0</v>
      </c>
      <c r="U275">
        <f t="shared" si="256"/>
        <v>5.55</v>
      </c>
      <c r="V275">
        <f t="shared" si="257"/>
        <v>0</v>
      </c>
      <c r="W275">
        <f t="shared" si="258"/>
        <v>0</v>
      </c>
      <c r="X275">
        <f t="shared" si="259"/>
        <v>2184</v>
      </c>
      <c r="Y275">
        <f t="shared" si="260"/>
        <v>312</v>
      </c>
      <c r="AA275">
        <v>1471718271</v>
      </c>
      <c r="AB275">
        <f t="shared" si="261"/>
        <v>286.18</v>
      </c>
      <c r="AC275">
        <f>ROUND((ES275),6)</f>
        <v>0</v>
      </c>
      <c r="AD275">
        <f>ROUND((((ET275)-(EU275))+AE275),6)</f>
        <v>78.180000000000007</v>
      </c>
      <c r="AE275">
        <f>ROUND((EU275),6)</f>
        <v>49.57</v>
      </c>
      <c r="AF275">
        <f>ROUND((EV275),6)</f>
        <v>208</v>
      </c>
      <c r="AG275">
        <f t="shared" si="262"/>
        <v>0</v>
      </c>
      <c r="AH275">
        <f>(EW275)</f>
        <v>0.37</v>
      </c>
      <c r="AI275">
        <f>(EX275)</f>
        <v>0</v>
      </c>
      <c r="AJ275">
        <f t="shared" si="263"/>
        <v>0</v>
      </c>
      <c r="AK275">
        <v>286.18</v>
      </c>
      <c r="AL275">
        <v>0</v>
      </c>
      <c r="AM275">
        <v>78.180000000000007</v>
      </c>
      <c r="AN275">
        <v>49.57</v>
      </c>
      <c r="AO275">
        <v>208</v>
      </c>
      <c r="AP275">
        <v>0</v>
      </c>
      <c r="AQ275">
        <v>0.37</v>
      </c>
      <c r="AR275">
        <v>0</v>
      </c>
      <c r="AS275">
        <v>0</v>
      </c>
      <c r="AT275">
        <v>70</v>
      </c>
      <c r="AU275">
        <v>10</v>
      </c>
      <c r="AV275">
        <v>1</v>
      </c>
      <c r="AW275">
        <v>1</v>
      </c>
      <c r="AZ275">
        <v>1</v>
      </c>
      <c r="BA275">
        <v>1</v>
      </c>
      <c r="BB275">
        <v>1</v>
      </c>
      <c r="BC275">
        <v>1</v>
      </c>
      <c r="BD275" t="s">
        <v>3</v>
      </c>
      <c r="BE275" t="s">
        <v>3</v>
      </c>
      <c r="BF275" t="s">
        <v>3</v>
      </c>
      <c r="BG275" t="s">
        <v>3</v>
      </c>
      <c r="BH275">
        <v>0</v>
      </c>
      <c r="BI275">
        <v>4</v>
      </c>
      <c r="BJ275" t="s">
        <v>41</v>
      </c>
      <c r="BM275">
        <v>0</v>
      </c>
      <c r="BN275">
        <v>0</v>
      </c>
      <c r="BO275" t="s">
        <v>3</v>
      </c>
      <c r="BP275">
        <v>0</v>
      </c>
      <c r="BQ275">
        <v>1</v>
      </c>
      <c r="BR275">
        <v>0</v>
      </c>
      <c r="BS275">
        <v>1</v>
      </c>
      <c r="BT275">
        <v>1</v>
      </c>
      <c r="BU275">
        <v>1</v>
      </c>
      <c r="BV275">
        <v>1</v>
      </c>
      <c r="BW275">
        <v>1</v>
      </c>
      <c r="BX275">
        <v>1</v>
      </c>
      <c r="BY275" t="s">
        <v>3</v>
      </c>
      <c r="BZ275">
        <v>70</v>
      </c>
      <c r="CA275">
        <v>10</v>
      </c>
      <c r="CB275" t="s">
        <v>3</v>
      </c>
      <c r="CE275">
        <v>0</v>
      </c>
      <c r="CF275">
        <v>0</v>
      </c>
      <c r="CG275">
        <v>0</v>
      </c>
      <c r="CM275">
        <v>0</v>
      </c>
      <c r="CN275" t="s">
        <v>3</v>
      </c>
      <c r="CO275">
        <v>0</v>
      </c>
      <c r="CP275">
        <f t="shared" si="264"/>
        <v>4292.7</v>
      </c>
      <c r="CQ275">
        <f t="shared" si="265"/>
        <v>0</v>
      </c>
      <c r="CR275">
        <f>((((ET275)*BB275-(EU275)*BS275)+AE275*BS275)*AV275)</f>
        <v>78.180000000000007</v>
      </c>
      <c r="CS275">
        <f t="shared" si="266"/>
        <v>49.57</v>
      </c>
      <c r="CT275">
        <f t="shared" si="267"/>
        <v>208</v>
      </c>
      <c r="CU275">
        <f t="shared" si="268"/>
        <v>0</v>
      </c>
      <c r="CV275">
        <f t="shared" si="269"/>
        <v>0.37</v>
      </c>
      <c r="CW275">
        <f t="shared" si="270"/>
        <v>0</v>
      </c>
      <c r="CX275">
        <f t="shared" si="271"/>
        <v>0</v>
      </c>
      <c r="CY275">
        <f t="shared" si="272"/>
        <v>2184</v>
      </c>
      <c r="CZ275">
        <f t="shared" si="273"/>
        <v>312</v>
      </c>
      <c r="DC275" t="s">
        <v>3</v>
      </c>
      <c r="DD275" t="s">
        <v>3</v>
      </c>
      <c r="DE275" t="s">
        <v>3</v>
      </c>
      <c r="DF275" t="s">
        <v>3</v>
      </c>
      <c r="DG275" t="s">
        <v>3</v>
      </c>
      <c r="DH275" t="s">
        <v>3</v>
      </c>
      <c r="DI275" t="s">
        <v>3</v>
      </c>
      <c r="DJ275" t="s">
        <v>3</v>
      </c>
      <c r="DK275" t="s">
        <v>3</v>
      </c>
      <c r="DL275" t="s">
        <v>3</v>
      </c>
      <c r="DM275" t="s">
        <v>3</v>
      </c>
      <c r="DN275">
        <v>0</v>
      </c>
      <c r="DO275">
        <v>0</v>
      </c>
      <c r="DP275">
        <v>1</v>
      </c>
      <c r="DQ275">
        <v>1</v>
      </c>
      <c r="DU275">
        <v>16987630</v>
      </c>
      <c r="DV275" t="s">
        <v>36</v>
      </c>
      <c r="DW275" t="s">
        <v>36</v>
      </c>
      <c r="DX275">
        <v>1</v>
      </c>
      <c r="DZ275" t="s">
        <v>3</v>
      </c>
      <c r="EA275" t="s">
        <v>3</v>
      </c>
      <c r="EB275" t="s">
        <v>3</v>
      </c>
      <c r="EC275" t="s">
        <v>3</v>
      </c>
      <c r="EE275">
        <v>1441815344</v>
      </c>
      <c r="EF275">
        <v>1</v>
      </c>
      <c r="EG275" t="s">
        <v>21</v>
      </c>
      <c r="EH275">
        <v>0</v>
      </c>
      <c r="EI275" t="s">
        <v>3</v>
      </c>
      <c r="EJ275">
        <v>4</v>
      </c>
      <c r="EK275">
        <v>0</v>
      </c>
      <c r="EL275" t="s">
        <v>22</v>
      </c>
      <c r="EM275" t="s">
        <v>23</v>
      </c>
      <c r="EO275" t="s">
        <v>3</v>
      </c>
      <c r="EQ275">
        <v>0</v>
      </c>
      <c r="ER275">
        <v>286.18</v>
      </c>
      <c r="ES275">
        <v>0</v>
      </c>
      <c r="ET275">
        <v>78.180000000000007</v>
      </c>
      <c r="EU275">
        <v>49.57</v>
      </c>
      <c r="EV275">
        <v>208</v>
      </c>
      <c r="EW275">
        <v>0.37</v>
      </c>
      <c r="EX275">
        <v>0</v>
      </c>
      <c r="EY275">
        <v>0</v>
      </c>
      <c r="FQ275">
        <v>0</v>
      </c>
      <c r="FR275">
        <f t="shared" si="274"/>
        <v>0</v>
      </c>
      <c r="FS275">
        <v>0</v>
      </c>
      <c r="FX275">
        <v>70</v>
      </c>
      <c r="FY275">
        <v>10</v>
      </c>
      <c r="GA275" t="s">
        <v>3</v>
      </c>
      <c r="GD275">
        <v>0</v>
      </c>
      <c r="GF275">
        <v>1694456522</v>
      </c>
      <c r="GG275">
        <v>2</v>
      </c>
      <c r="GH275">
        <v>1</v>
      </c>
      <c r="GI275">
        <v>-2</v>
      </c>
      <c r="GJ275">
        <v>0</v>
      </c>
      <c r="GK275">
        <f>ROUND(R275*(R12)/100,2)</f>
        <v>803.03</v>
      </c>
      <c r="GL275">
        <f t="shared" si="275"/>
        <v>0</v>
      </c>
      <c r="GM275">
        <f t="shared" si="276"/>
        <v>7591.73</v>
      </c>
      <c r="GN275">
        <f t="shared" si="277"/>
        <v>0</v>
      </c>
      <c r="GO275">
        <f t="shared" si="278"/>
        <v>0</v>
      </c>
      <c r="GP275">
        <f t="shared" si="279"/>
        <v>7591.73</v>
      </c>
      <c r="GR275">
        <v>0</v>
      </c>
      <c r="GS275">
        <v>3</v>
      </c>
      <c r="GT275">
        <v>0</v>
      </c>
      <c r="GU275" t="s">
        <v>3</v>
      </c>
      <c r="GV275">
        <f t="shared" si="280"/>
        <v>0</v>
      </c>
      <c r="GW275">
        <v>1</v>
      </c>
      <c r="GX275">
        <f t="shared" si="281"/>
        <v>0</v>
      </c>
      <c r="HA275">
        <v>0</v>
      </c>
      <c r="HB275">
        <v>0</v>
      </c>
      <c r="HC275">
        <f t="shared" si="282"/>
        <v>0</v>
      </c>
      <c r="HE275" t="s">
        <v>3</v>
      </c>
      <c r="HF275" t="s">
        <v>3</v>
      </c>
      <c r="HM275" t="s">
        <v>3</v>
      </c>
      <c r="HN275" t="s">
        <v>3</v>
      </c>
      <c r="HO275" t="s">
        <v>3</v>
      </c>
      <c r="HP275" t="s">
        <v>3</v>
      </c>
      <c r="HQ275" t="s">
        <v>3</v>
      </c>
      <c r="IK275">
        <v>0</v>
      </c>
    </row>
    <row r="276" spans="1:245" x14ac:dyDescent="0.2">
      <c r="A276">
        <v>17</v>
      </c>
      <c r="B276">
        <v>1</v>
      </c>
      <c r="D276">
        <f>ROW(EtalonRes!A147)</f>
        <v>147</v>
      </c>
      <c r="E276" t="s">
        <v>291</v>
      </c>
      <c r="F276" t="s">
        <v>76</v>
      </c>
      <c r="G276" t="s">
        <v>77</v>
      </c>
      <c r="H276" t="s">
        <v>53</v>
      </c>
      <c r="I276">
        <f>ROUND((15)*1/100,9)</f>
        <v>0.15</v>
      </c>
      <c r="J276">
        <v>0</v>
      </c>
      <c r="K276">
        <f>ROUND((15)*1/100,9)</f>
        <v>0.15</v>
      </c>
      <c r="O276">
        <f t="shared" si="250"/>
        <v>8667.2999999999993</v>
      </c>
      <c r="P276">
        <f t="shared" si="251"/>
        <v>146.13999999999999</v>
      </c>
      <c r="Q276">
        <f t="shared" si="252"/>
        <v>0</v>
      </c>
      <c r="R276">
        <f t="shared" si="253"/>
        <v>0</v>
      </c>
      <c r="S276">
        <f t="shared" si="254"/>
        <v>8521.16</v>
      </c>
      <c r="T276">
        <f t="shared" si="255"/>
        <v>0</v>
      </c>
      <c r="U276">
        <f t="shared" si="256"/>
        <v>16.811999999999998</v>
      </c>
      <c r="V276">
        <f t="shared" si="257"/>
        <v>0</v>
      </c>
      <c r="W276">
        <f t="shared" si="258"/>
        <v>0</v>
      </c>
      <c r="X276">
        <f t="shared" si="259"/>
        <v>5964.81</v>
      </c>
      <c r="Y276">
        <f t="shared" si="260"/>
        <v>852.12</v>
      </c>
      <c r="AA276">
        <v>1471718271</v>
      </c>
      <c r="AB276">
        <f t="shared" si="261"/>
        <v>57782.04</v>
      </c>
      <c r="AC276">
        <f>ROUND(((ES276*4)),6)</f>
        <v>974.28</v>
      </c>
      <c r="AD276">
        <f>ROUND(((((ET276*4))-((EU276*4)))+AE276),6)</f>
        <v>0</v>
      </c>
      <c r="AE276">
        <f>ROUND(((EU276*4)),6)</f>
        <v>0</v>
      </c>
      <c r="AF276">
        <f>ROUND(((EV276*4)),6)</f>
        <v>56807.76</v>
      </c>
      <c r="AG276">
        <f t="shared" si="262"/>
        <v>0</v>
      </c>
      <c r="AH276">
        <f>((EW276*4))</f>
        <v>112.08</v>
      </c>
      <c r="AI276">
        <f>((EX276*4))</f>
        <v>0</v>
      </c>
      <c r="AJ276">
        <f t="shared" si="263"/>
        <v>0</v>
      </c>
      <c r="AK276">
        <v>14445.51</v>
      </c>
      <c r="AL276">
        <v>243.57</v>
      </c>
      <c r="AM276">
        <v>0</v>
      </c>
      <c r="AN276">
        <v>0</v>
      </c>
      <c r="AO276">
        <v>14201.94</v>
      </c>
      <c r="AP276">
        <v>0</v>
      </c>
      <c r="AQ276">
        <v>28.02</v>
      </c>
      <c r="AR276">
        <v>0</v>
      </c>
      <c r="AS276">
        <v>0</v>
      </c>
      <c r="AT276">
        <v>70</v>
      </c>
      <c r="AU276">
        <v>10</v>
      </c>
      <c r="AV276">
        <v>1</v>
      </c>
      <c r="AW276">
        <v>1</v>
      </c>
      <c r="AZ276">
        <v>1</v>
      </c>
      <c r="BA276">
        <v>1</v>
      </c>
      <c r="BB276">
        <v>1</v>
      </c>
      <c r="BC276">
        <v>1</v>
      </c>
      <c r="BD276" t="s">
        <v>3</v>
      </c>
      <c r="BE276" t="s">
        <v>3</v>
      </c>
      <c r="BF276" t="s">
        <v>3</v>
      </c>
      <c r="BG276" t="s">
        <v>3</v>
      </c>
      <c r="BH276">
        <v>0</v>
      </c>
      <c r="BI276">
        <v>4</v>
      </c>
      <c r="BJ276" t="s">
        <v>78</v>
      </c>
      <c r="BM276">
        <v>0</v>
      </c>
      <c r="BN276">
        <v>0</v>
      </c>
      <c r="BO276" t="s">
        <v>3</v>
      </c>
      <c r="BP276">
        <v>0</v>
      </c>
      <c r="BQ276">
        <v>1</v>
      </c>
      <c r="BR276">
        <v>0</v>
      </c>
      <c r="BS276">
        <v>1</v>
      </c>
      <c r="BT276">
        <v>1</v>
      </c>
      <c r="BU276">
        <v>1</v>
      </c>
      <c r="BV276">
        <v>1</v>
      </c>
      <c r="BW276">
        <v>1</v>
      </c>
      <c r="BX276">
        <v>1</v>
      </c>
      <c r="BY276" t="s">
        <v>3</v>
      </c>
      <c r="BZ276">
        <v>70</v>
      </c>
      <c r="CA276">
        <v>10</v>
      </c>
      <c r="CB276" t="s">
        <v>3</v>
      </c>
      <c r="CE276">
        <v>0</v>
      </c>
      <c r="CF276">
        <v>0</v>
      </c>
      <c r="CG276">
        <v>0</v>
      </c>
      <c r="CM276">
        <v>0</v>
      </c>
      <c r="CN276" t="s">
        <v>3</v>
      </c>
      <c r="CO276">
        <v>0</v>
      </c>
      <c r="CP276">
        <f t="shared" si="264"/>
        <v>8667.2999999999993</v>
      </c>
      <c r="CQ276">
        <f t="shared" si="265"/>
        <v>974.28</v>
      </c>
      <c r="CR276">
        <f>(((((ET276*4))*BB276-((EU276*4))*BS276)+AE276*BS276)*AV276)</f>
        <v>0</v>
      </c>
      <c r="CS276">
        <f t="shared" si="266"/>
        <v>0</v>
      </c>
      <c r="CT276">
        <f t="shared" si="267"/>
        <v>56807.76</v>
      </c>
      <c r="CU276">
        <f t="shared" si="268"/>
        <v>0</v>
      </c>
      <c r="CV276">
        <f t="shared" si="269"/>
        <v>112.08</v>
      </c>
      <c r="CW276">
        <f t="shared" si="270"/>
        <v>0</v>
      </c>
      <c r="CX276">
        <f t="shared" si="271"/>
        <v>0</v>
      </c>
      <c r="CY276">
        <f t="shared" si="272"/>
        <v>5964.8119999999999</v>
      </c>
      <c r="CZ276">
        <f t="shared" si="273"/>
        <v>852.1160000000001</v>
      </c>
      <c r="DC276" t="s">
        <v>3</v>
      </c>
      <c r="DD276" t="s">
        <v>20</v>
      </c>
      <c r="DE276" t="s">
        <v>20</v>
      </c>
      <c r="DF276" t="s">
        <v>20</v>
      </c>
      <c r="DG276" t="s">
        <v>20</v>
      </c>
      <c r="DH276" t="s">
        <v>3</v>
      </c>
      <c r="DI276" t="s">
        <v>20</v>
      </c>
      <c r="DJ276" t="s">
        <v>20</v>
      </c>
      <c r="DK276" t="s">
        <v>3</v>
      </c>
      <c r="DL276" t="s">
        <v>3</v>
      </c>
      <c r="DM276" t="s">
        <v>3</v>
      </c>
      <c r="DN276">
        <v>0</v>
      </c>
      <c r="DO276">
        <v>0</v>
      </c>
      <c r="DP276">
        <v>1</v>
      </c>
      <c r="DQ276">
        <v>1</v>
      </c>
      <c r="DU276">
        <v>16987630</v>
      </c>
      <c r="DV276" t="s">
        <v>53</v>
      </c>
      <c r="DW276" t="s">
        <v>53</v>
      </c>
      <c r="DX276">
        <v>100</v>
      </c>
      <c r="DZ276" t="s">
        <v>3</v>
      </c>
      <c r="EA276" t="s">
        <v>3</v>
      </c>
      <c r="EB276" t="s">
        <v>3</v>
      </c>
      <c r="EC276" t="s">
        <v>3</v>
      </c>
      <c r="EE276">
        <v>1441815344</v>
      </c>
      <c r="EF276">
        <v>1</v>
      </c>
      <c r="EG276" t="s">
        <v>21</v>
      </c>
      <c r="EH276">
        <v>0</v>
      </c>
      <c r="EI276" t="s">
        <v>3</v>
      </c>
      <c r="EJ276">
        <v>4</v>
      </c>
      <c r="EK276">
        <v>0</v>
      </c>
      <c r="EL276" t="s">
        <v>22</v>
      </c>
      <c r="EM276" t="s">
        <v>23</v>
      </c>
      <c r="EO276" t="s">
        <v>3</v>
      </c>
      <c r="EQ276">
        <v>0</v>
      </c>
      <c r="ER276">
        <v>14445.51</v>
      </c>
      <c r="ES276">
        <v>243.57</v>
      </c>
      <c r="ET276">
        <v>0</v>
      </c>
      <c r="EU276">
        <v>0</v>
      </c>
      <c r="EV276">
        <v>14201.94</v>
      </c>
      <c r="EW276">
        <v>28.02</v>
      </c>
      <c r="EX276">
        <v>0</v>
      </c>
      <c r="EY276">
        <v>0</v>
      </c>
      <c r="FQ276">
        <v>0</v>
      </c>
      <c r="FR276">
        <f t="shared" si="274"/>
        <v>0</v>
      </c>
      <c r="FS276">
        <v>0</v>
      </c>
      <c r="FX276">
        <v>70</v>
      </c>
      <c r="FY276">
        <v>10</v>
      </c>
      <c r="GA276" t="s">
        <v>3</v>
      </c>
      <c r="GD276">
        <v>0</v>
      </c>
      <c r="GF276">
        <v>1586733399</v>
      </c>
      <c r="GG276">
        <v>2</v>
      </c>
      <c r="GH276">
        <v>1</v>
      </c>
      <c r="GI276">
        <v>-2</v>
      </c>
      <c r="GJ276">
        <v>0</v>
      </c>
      <c r="GK276">
        <f>ROUND(R276*(R12)/100,2)</f>
        <v>0</v>
      </c>
      <c r="GL276">
        <f t="shared" si="275"/>
        <v>0</v>
      </c>
      <c r="GM276">
        <f t="shared" si="276"/>
        <v>15484.23</v>
      </c>
      <c r="GN276">
        <f t="shared" si="277"/>
        <v>0</v>
      </c>
      <c r="GO276">
        <f t="shared" si="278"/>
        <v>0</v>
      </c>
      <c r="GP276">
        <f t="shared" si="279"/>
        <v>15484.23</v>
      </c>
      <c r="GR276">
        <v>0</v>
      </c>
      <c r="GS276">
        <v>3</v>
      </c>
      <c r="GT276">
        <v>0</v>
      </c>
      <c r="GU276" t="s">
        <v>3</v>
      </c>
      <c r="GV276">
        <f t="shared" si="280"/>
        <v>0</v>
      </c>
      <c r="GW276">
        <v>1</v>
      </c>
      <c r="GX276">
        <f t="shared" si="281"/>
        <v>0</v>
      </c>
      <c r="HA276">
        <v>0</v>
      </c>
      <c r="HB276">
        <v>0</v>
      </c>
      <c r="HC276">
        <f t="shared" si="282"/>
        <v>0</v>
      </c>
      <c r="HE276" t="s">
        <v>3</v>
      </c>
      <c r="HF276" t="s">
        <v>3</v>
      </c>
      <c r="HM276" t="s">
        <v>3</v>
      </c>
      <c r="HN276" t="s">
        <v>3</v>
      </c>
      <c r="HO276" t="s">
        <v>3</v>
      </c>
      <c r="HP276" t="s">
        <v>3</v>
      </c>
      <c r="HQ276" t="s">
        <v>3</v>
      </c>
      <c r="IK276">
        <v>0</v>
      </c>
    </row>
    <row r="277" spans="1:245" x14ac:dyDescent="0.2">
      <c r="A277">
        <v>17</v>
      </c>
      <c r="B277">
        <v>1</v>
      </c>
      <c r="D277">
        <f>ROW(EtalonRes!A149)</f>
        <v>149</v>
      </c>
      <c r="E277" t="s">
        <v>292</v>
      </c>
      <c r="F277" t="s">
        <v>39</v>
      </c>
      <c r="G277" t="s">
        <v>293</v>
      </c>
      <c r="H277" t="s">
        <v>36</v>
      </c>
      <c r="I277">
        <f>ROUND((15)*1,9)</f>
        <v>15</v>
      </c>
      <c r="J277">
        <v>0</v>
      </c>
      <c r="K277">
        <f>ROUND((15)*1,9)</f>
        <v>15</v>
      </c>
      <c r="O277">
        <f t="shared" si="250"/>
        <v>4292.7</v>
      </c>
      <c r="P277">
        <f t="shared" si="251"/>
        <v>0</v>
      </c>
      <c r="Q277">
        <f t="shared" si="252"/>
        <v>1172.7</v>
      </c>
      <c r="R277">
        <f t="shared" si="253"/>
        <v>743.55</v>
      </c>
      <c r="S277">
        <f t="shared" si="254"/>
        <v>3120</v>
      </c>
      <c r="T277">
        <f t="shared" si="255"/>
        <v>0</v>
      </c>
      <c r="U277">
        <f t="shared" si="256"/>
        <v>5.55</v>
      </c>
      <c r="V277">
        <f t="shared" si="257"/>
        <v>0</v>
      </c>
      <c r="W277">
        <f t="shared" si="258"/>
        <v>0</v>
      </c>
      <c r="X277">
        <f t="shared" si="259"/>
        <v>2184</v>
      </c>
      <c r="Y277">
        <f t="shared" si="260"/>
        <v>312</v>
      </c>
      <c r="AA277">
        <v>1471718271</v>
      </c>
      <c r="AB277">
        <f t="shared" si="261"/>
        <v>286.18</v>
      </c>
      <c r="AC277">
        <f>ROUND((ES277),6)</f>
        <v>0</v>
      </c>
      <c r="AD277">
        <f>ROUND((((ET277)-(EU277))+AE277),6)</f>
        <v>78.180000000000007</v>
      </c>
      <c r="AE277">
        <f>ROUND((EU277),6)</f>
        <v>49.57</v>
      </c>
      <c r="AF277">
        <f>ROUND((EV277),6)</f>
        <v>208</v>
      </c>
      <c r="AG277">
        <f t="shared" si="262"/>
        <v>0</v>
      </c>
      <c r="AH277">
        <f>(EW277)</f>
        <v>0.37</v>
      </c>
      <c r="AI277">
        <f>(EX277)</f>
        <v>0</v>
      </c>
      <c r="AJ277">
        <f t="shared" si="263"/>
        <v>0</v>
      </c>
      <c r="AK277">
        <v>286.18</v>
      </c>
      <c r="AL277">
        <v>0</v>
      </c>
      <c r="AM277">
        <v>78.180000000000007</v>
      </c>
      <c r="AN277">
        <v>49.57</v>
      </c>
      <c r="AO277">
        <v>208</v>
      </c>
      <c r="AP277">
        <v>0</v>
      </c>
      <c r="AQ277">
        <v>0.37</v>
      </c>
      <c r="AR277">
        <v>0</v>
      </c>
      <c r="AS277">
        <v>0</v>
      </c>
      <c r="AT277">
        <v>70</v>
      </c>
      <c r="AU277">
        <v>10</v>
      </c>
      <c r="AV277">
        <v>1</v>
      </c>
      <c r="AW277">
        <v>1</v>
      </c>
      <c r="AZ277">
        <v>1</v>
      </c>
      <c r="BA277">
        <v>1</v>
      </c>
      <c r="BB277">
        <v>1</v>
      </c>
      <c r="BC277">
        <v>1</v>
      </c>
      <c r="BD277" t="s">
        <v>3</v>
      </c>
      <c r="BE277" t="s">
        <v>3</v>
      </c>
      <c r="BF277" t="s">
        <v>3</v>
      </c>
      <c r="BG277" t="s">
        <v>3</v>
      </c>
      <c r="BH277">
        <v>0</v>
      </c>
      <c r="BI277">
        <v>4</v>
      </c>
      <c r="BJ277" t="s">
        <v>41</v>
      </c>
      <c r="BM277">
        <v>0</v>
      </c>
      <c r="BN277">
        <v>0</v>
      </c>
      <c r="BO277" t="s">
        <v>3</v>
      </c>
      <c r="BP277">
        <v>0</v>
      </c>
      <c r="BQ277">
        <v>1</v>
      </c>
      <c r="BR277">
        <v>0</v>
      </c>
      <c r="BS277">
        <v>1</v>
      </c>
      <c r="BT277">
        <v>1</v>
      </c>
      <c r="BU277">
        <v>1</v>
      </c>
      <c r="BV277">
        <v>1</v>
      </c>
      <c r="BW277">
        <v>1</v>
      </c>
      <c r="BX277">
        <v>1</v>
      </c>
      <c r="BY277" t="s">
        <v>3</v>
      </c>
      <c r="BZ277">
        <v>70</v>
      </c>
      <c r="CA277">
        <v>10</v>
      </c>
      <c r="CB277" t="s">
        <v>3</v>
      </c>
      <c r="CE277">
        <v>0</v>
      </c>
      <c r="CF277">
        <v>0</v>
      </c>
      <c r="CG277">
        <v>0</v>
      </c>
      <c r="CM277">
        <v>0</v>
      </c>
      <c r="CN277" t="s">
        <v>3</v>
      </c>
      <c r="CO277">
        <v>0</v>
      </c>
      <c r="CP277">
        <f t="shared" si="264"/>
        <v>4292.7</v>
      </c>
      <c r="CQ277">
        <f t="shared" si="265"/>
        <v>0</v>
      </c>
      <c r="CR277">
        <f>((((ET277)*BB277-(EU277)*BS277)+AE277*BS277)*AV277)</f>
        <v>78.180000000000007</v>
      </c>
      <c r="CS277">
        <f t="shared" si="266"/>
        <v>49.57</v>
      </c>
      <c r="CT277">
        <f t="shared" si="267"/>
        <v>208</v>
      </c>
      <c r="CU277">
        <f t="shared" si="268"/>
        <v>0</v>
      </c>
      <c r="CV277">
        <f t="shared" si="269"/>
        <v>0.37</v>
      </c>
      <c r="CW277">
        <f t="shared" si="270"/>
        <v>0</v>
      </c>
      <c r="CX277">
        <f t="shared" si="271"/>
        <v>0</v>
      </c>
      <c r="CY277">
        <f t="shared" si="272"/>
        <v>2184</v>
      </c>
      <c r="CZ277">
        <f t="shared" si="273"/>
        <v>312</v>
      </c>
      <c r="DC277" t="s">
        <v>3</v>
      </c>
      <c r="DD277" t="s">
        <v>3</v>
      </c>
      <c r="DE277" t="s">
        <v>3</v>
      </c>
      <c r="DF277" t="s">
        <v>3</v>
      </c>
      <c r="DG277" t="s">
        <v>3</v>
      </c>
      <c r="DH277" t="s">
        <v>3</v>
      </c>
      <c r="DI277" t="s">
        <v>3</v>
      </c>
      <c r="DJ277" t="s">
        <v>3</v>
      </c>
      <c r="DK277" t="s">
        <v>3</v>
      </c>
      <c r="DL277" t="s">
        <v>3</v>
      </c>
      <c r="DM277" t="s">
        <v>3</v>
      </c>
      <c r="DN277">
        <v>0</v>
      </c>
      <c r="DO277">
        <v>0</v>
      </c>
      <c r="DP277">
        <v>1</v>
      </c>
      <c r="DQ277">
        <v>1</v>
      </c>
      <c r="DU277">
        <v>16987630</v>
      </c>
      <c r="DV277" t="s">
        <v>36</v>
      </c>
      <c r="DW277" t="s">
        <v>36</v>
      </c>
      <c r="DX277">
        <v>1</v>
      </c>
      <c r="DZ277" t="s">
        <v>3</v>
      </c>
      <c r="EA277" t="s">
        <v>3</v>
      </c>
      <c r="EB277" t="s">
        <v>3</v>
      </c>
      <c r="EC277" t="s">
        <v>3</v>
      </c>
      <c r="EE277">
        <v>1441815344</v>
      </c>
      <c r="EF277">
        <v>1</v>
      </c>
      <c r="EG277" t="s">
        <v>21</v>
      </c>
      <c r="EH277">
        <v>0</v>
      </c>
      <c r="EI277" t="s">
        <v>3</v>
      </c>
      <c r="EJ277">
        <v>4</v>
      </c>
      <c r="EK277">
        <v>0</v>
      </c>
      <c r="EL277" t="s">
        <v>22</v>
      </c>
      <c r="EM277" t="s">
        <v>23</v>
      </c>
      <c r="EO277" t="s">
        <v>3</v>
      </c>
      <c r="EQ277">
        <v>0</v>
      </c>
      <c r="ER277">
        <v>286.18</v>
      </c>
      <c r="ES277">
        <v>0</v>
      </c>
      <c r="ET277">
        <v>78.180000000000007</v>
      </c>
      <c r="EU277">
        <v>49.57</v>
      </c>
      <c r="EV277">
        <v>208</v>
      </c>
      <c r="EW277">
        <v>0.37</v>
      </c>
      <c r="EX277">
        <v>0</v>
      </c>
      <c r="EY277">
        <v>0</v>
      </c>
      <c r="FQ277">
        <v>0</v>
      </c>
      <c r="FR277">
        <f t="shared" si="274"/>
        <v>0</v>
      </c>
      <c r="FS277">
        <v>0</v>
      </c>
      <c r="FX277">
        <v>70</v>
      </c>
      <c r="FY277">
        <v>10</v>
      </c>
      <c r="GA277" t="s">
        <v>3</v>
      </c>
      <c r="GD277">
        <v>0</v>
      </c>
      <c r="GF277">
        <v>1995703615</v>
      </c>
      <c r="GG277">
        <v>2</v>
      </c>
      <c r="GH277">
        <v>1</v>
      </c>
      <c r="GI277">
        <v>-2</v>
      </c>
      <c r="GJ277">
        <v>0</v>
      </c>
      <c r="GK277">
        <f>ROUND(R277*(R12)/100,2)</f>
        <v>803.03</v>
      </c>
      <c r="GL277">
        <f t="shared" si="275"/>
        <v>0</v>
      </c>
      <c r="GM277">
        <f t="shared" si="276"/>
        <v>7591.73</v>
      </c>
      <c r="GN277">
        <f t="shared" si="277"/>
        <v>0</v>
      </c>
      <c r="GO277">
        <f t="shared" si="278"/>
        <v>0</v>
      </c>
      <c r="GP277">
        <f t="shared" si="279"/>
        <v>7591.73</v>
      </c>
      <c r="GR277">
        <v>0</v>
      </c>
      <c r="GS277">
        <v>3</v>
      </c>
      <c r="GT277">
        <v>0</v>
      </c>
      <c r="GU277" t="s">
        <v>3</v>
      </c>
      <c r="GV277">
        <f t="shared" si="280"/>
        <v>0</v>
      </c>
      <c r="GW277">
        <v>1</v>
      </c>
      <c r="GX277">
        <f t="shared" si="281"/>
        <v>0</v>
      </c>
      <c r="HA277">
        <v>0</v>
      </c>
      <c r="HB277">
        <v>0</v>
      </c>
      <c r="HC277">
        <f t="shared" si="282"/>
        <v>0</v>
      </c>
      <c r="HE277" t="s">
        <v>3</v>
      </c>
      <c r="HF277" t="s">
        <v>3</v>
      </c>
      <c r="HM277" t="s">
        <v>3</v>
      </c>
      <c r="HN277" t="s">
        <v>3</v>
      </c>
      <c r="HO277" t="s">
        <v>3</v>
      </c>
      <c r="HP277" t="s">
        <v>3</v>
      </c>
      <c r="HQ277" t="s">
        <v>3</v>
      </c>
      <c r="IK277">
        <v>0</v>
      </c>
    </row>
    <row r="278" spans="1:245" x14ac:dyDescent="0.2">
      <c r="A278">
        <v>17</v>
      </c>
      <c r="B278">
        <v>1</v>
      </c>
      <c r="D278">
        <f>ROW(EtalonRes!A151)</f>
        <v>151</v>
      </c>
      <c r="E278" t="s">
        <v>294</v>
      </c>
      <c r="F278" t="s">
        <v>76</v>
      </c>
      <c r="G278" t="s">
        <v>295</v>
      </c>
      <c r="H278" t="s">
        <v>53</v>
      </c>
      <c r="I278">
        <f>ROUND((15)*1/100,9)</f>
        <v>0.15</v>
      </c>
      <c r="J278">
        <v>0</v>
      </c>
      <c r="K278">
        <f>ROUND((15)*1/100,9)</f>
        <v>0.15</v>
      </c>
      <c r="O278">
        <f t="shared" si="250"/>
        <v>8667.2999999999993</v>
      </c>
      <c r="P278">
        <f t="shared" si="251"/>
        <v>146.13999999999999</v>
      </c>
      <c r="Q278">
        <f t="shared" si="252"/>
        <v>0</v>
      </c>
      <c r="R278">
        <f t="shared" si="253"/>
        <v>0</v>
      </c>
      <c r="S278">
        <f t="shared" si="254"/>
        <v>8521.16</v>
      </c>
      <c r="T278">
        <f t="shared" si="255"/>
        <v>0</v>
      </c>
      <c r="U278">
        <f t="shared" si="256"/>
        <v>16.811999999999998</v>
      </c>
      <c r="V278">
        <f t="shared" si="257"/>
        <v>0</v>
      </c>
      <c r="W278">
        <f t="shared" si="258"/>
        <v>0</v>
      </c>
      <c r="X278">
        <f t="shared" si="259"/>
        <v>5964.81</v>
      </c>
      <c r="Y278">
        <f t="shared" si="260"/>
        <v>852.12</v>
      </c>
      <c r="AA278">
        <v>1471718271</v>
      </c>
      <c r="AB278">
        <f t="shared" si="261"/>
        <v>57782.04</v>
      </c>
      <c r="AC278">
        <f>ROUND(((ES278*4)),6)</f>
        <v>974.28</v>
      </c>
      <c r="AD278">
        <f>ROUND(((((ET278*4))-((EU278*4)))+AE278),6)</f>
        <v>0</v>
      </c>
      <c r="AE278">
        <f>ROUND(((EU278*4)),6)</f>
        <v>0</v>
      </c>
      <c r="AF278">
        <f>ROUND(((EV278*4)),6)</f>
        <v>56807.76</v>
      </c>
      <c r="AG278">
        <f t="shared" si="262"/>
        <v>0</v>
      </c>
      <c r="AH278">
        <f>((EW278*4))</f>
        <v>112.08</v>
      </c>
      <c r="AI278">
        <f>((EX278*4))</f>
        <v>0</v>
      </c>
      <c r="AJ278">
        <f t="shared" si="263"/>
        <v>0</v>
      </c>
      <c r="AK278">
        <v>14445.51</v>
      </c>
      <c r="AL278">
        <v>243.57</v>
      </c>
      <c r="AM278">
        <v>0</v>
      </c>
      <c r="AN278">
        <v>0</v>
      </c>
      <c r="AO278">
        <v>14201.94</v>
      </c>
      <c r="AP278">
        <v>0</v>
      </c>
      <c r="AQ278">
        <v>28.02</v>
      </c>
      <c r="AR278">
        <v>0</v>
      </c>
      <c r="AS278">
        <v>0</v>
      </c>
      <c r="AT278">
        <v>70</v>
      </c>
      <c r="AU278">
        <v>10</v>
      </c>
      <c r="AV278">
        <v>1</v>
      </c>
      <c r="AW278">
        <v>1</v>
      </c>
      <c r="AZ278">
        <v>1</v>
      </c>
      <c r="BA278">
        <v>1</v>
      </c>
      <c r="BB278">
        <v>1</v>
      </c>
      <c r="BC278">
        <v>1</v>
      </c>
      <c r="BD278" t="s">
        <v>3</v>
      </c>
      <c r="BE278" t="s">
        <v>3</v>
      </c>
      <c r="BF278" t="s">
        <v>3</v>
      </c>
      <c r="BG278" t="s">
        <v>3</v>
      </c>
      <c r="BH278">
        <v>0</v>
      </c>
      <c r="BI278">
        <v>4</v>
      </c>
      <c r="BJ278" t="s">
        <v>78</v>
      </c>
      <c r="BM278">
        <v>0</v>
      </c>
      <c r="BN278">
        <v>0</v>
      </c>
      <c r="BO278" t="s">
        <v>3</v>
      </c>
      <c r="BP278">
        <v>0</v>
      </c>
      <c r="BQ278">
        <v>1</v>
      </c>
      <c r="BR278">
        <v>0</v>
      </c>
      <c r="BS278">
        <v>1</v>
      </c>
      <c r="BT278">
        <v>1</v>
      </c>
      <c r="BU278">
        <v>1</v>
      </c>
      <c r="BV278">
        <v>1</v>
      </c>
      <c r="BW278">
        <v>1</v>
      </c>
      <c r="BX278">
        <v>1</v>
      </c>
      <c r="BY278" t="s">
        <v>3</v>
      </c>
      <c r="BZ278">
        <v>70</v>
      </c>
      <c r="CA278">
        <v>10</v>
      </c>
      <c r="CB278" t="s">
        <v>3</v>
      </c>
      <c r="CE278">
        <v>0</v>
      </c>
      <c r="CF278">
        <v>0</v>
      </c>
      <c r="CG278">
        <v>0</v>
      </c>
      <c r="CM278">
        <v>0</v>
      </c>
      <c r="CN278" t="s">
        <v>3</v>
      </c>
      <c r="CO278">
        <v>0</v>
      </c>
      <c r="CP278">
        <f t="shared" si="264"/>
        <v>8667.2999999999993</v>
      </c>
      <c r="CQ278">
        <f t="shared" si="265"/>
        <v>974.28</v>
      </c>
      <c r="CR278">
        <f>(((((ET278*4))*BB278-((EU278*4))*BS278)+AE278*BS278)*AV278)</f>
        <v>0</v>
      </c>
      <c r="CS278">
        <f t="shared" si="266"/>
        <v>0</v>
      </c>
      <c r="CT278">
        <f t="shared" si="267"/>
        <v>56807.76</v>
      </c>
      <c r="CU278">
        <f t="shared" si="268"/>
        <v>0</v>
      </c>
      <c r="CV278">
        <f t="shared" si="269"/>
        <v>112.08</v>
      </c>
      <c r="CW278">
        <f t="shared" si="270"/>
        <v>0</v>
      </c>
      <c r="CX278">
        <f t="shared" si="271"/>
        <v>0</v>
      </c>
      <c r="CY278">
        <f t="shared" si="272"/>
        <v>5964.8119999999999</v>
      </c>
      <c r="CZ278">
        <f t="shared" si="273"/>
        <v>852.1160000000001</v>
      </c>
      <c r="DC278" t="s">
        <v>3</v>
      </c>
      <c r="DD278" t="s">
        <v>20</v>
      </c>
      <c r="DE278" t="s">
        <v>20</v>
      </c>
      <c r="DF278" t="s">
        <v>20</v>
      </c>
      <c r="DG278" t="s">
        <v>20</v>
      </c>
      <c r="DH278" t="s">
        <v>3</v>
      </c>
      <c r="DI278" t="s">
        <v>20</v>
      </c>
      <c r="DJ278" t="s">
        <v>20</v>
      </c>
      <c r="DK278" t="s">
        <v>3</v>
      </c>
      <c r="DL278" t="s">
        <v>3</v>
      </c>
      <c r="DM278" t="s">
        <v>3</v>
      </c>
      <c r="DN278">
        <v>0</v>
      </c>
      <c r="DO278">
        <v>0</v>
      </c>
      <c r="DP278">
        <v>1</v>
      </c>
      <c r="DQ278">
        <v>1</v>
      </c>
      <c r="DU278">
        <v>16987630</v>
      </c>
      <c r="DV278" t="s">
        <v>53</v>
      </c>
      <c r="DW278" t="s">
        <v>53</v>
      </c>
      <c r="DX278">
        <v>100</v>
      </c>
      <c r="DZ278" t="s">
        <v>3</v>
      </c>
      <c r="EA278" t="s">
        <v>3</v>
      </c>
      <c r="EB278" t="s">
        <v>3</v>
      </c>
      <c r="EC278" t="s">
        <v>3</v>
      </c>
      <c r="EE278">
        <v>1441815344</v>
      </c>
      <c r="EF278">
        <v>1</v>
      </c>
      <c r="EG278" t="s">
        <v>21</v>
      </c>
      <c r="EH278">
        <v>0</v>
      </c>
      <c r="EI278" t="s">
        <v>3</v>
      </c>
      <c r="EJ278">
        <v>4</v>
      </c>
      <c r="EK278">
        <v>0</v>
      </c>
      <c r="EL278" t="s">
        <v>22</v>
      </c>
      <c r="EM278" t="s">
        <v>23</v>
      </c>
      <c r="EO278" t="s">
        <v>3</v>
      </c>
      <c r="EQ278">
        <v>0</v>
      </c>
      <c r="ER278">
        <v>14445.51</v>
      </c>
      <c r="ES278">
        <v>243.57</v>
      </c>
      <c r="ET278">
        <v>0</v>
      </c>
      <c r="EU278">
        <v>0</v>
      </c>
      <c r="EV278">
        <v>14201.94</v>
      </c>
      <c r="EW278">
        <v>28.02</v>
      </c>
      <c r="EX278">
        <v>0</v>
      </c>
      <c r="EY278">
        <v>0</v>
      </c>
      <c r="FQ278">
        <v>0</v>
      </c>
      <c r="FR278">
        <f t="shared" si="274"/>
        <v>0</v>
      </c>
      <c r="FS278">
        <v>0</v>
      </c>
      <c r="FX278">
        <v>70</v>
      </c>
      <c r="FY278">
        <v>10</v>
      </c>
      <c r="GA278" t="s">
        <v>3</v>
      </c>
      <c r="GD278">
        <v>0</v>
      </c>
      <c r="GF278">
        <v>1142762327</v>
      </c>
      <c r="GG278">
        <v>2</v>
      </c>
      <c r="GH278">
        <v>1</v>
      </c>
      <c r="GI278">
        <v>-2</v>
      </c>
      <c r="GJ278">
        <v>0</v>
      </c>
      <c r="GK278">
        <f>ROUND(R278*(R12)/100,2)</f>
        <v>0</v>
      </c>
      <c r="GL278">
        <f t="shared" si="275"/>
        <v>0</v>
      </c>
      <c r="GM278">
        <f t="shared" si="276"/>
        <v>15484.23</v>
      </c>
      <c r="GN278">
        <f t="shared" si="277"/>
        <v>0</v>
      </c>
      <c r="GO278">
        <f t="shared" si="278"/>
        <v>0</v>
      </c>
      <c r="GP278">
        <f t="shared" si="279"/>
        <v>15484.23</v>
      </c>
      <c r="GR278">
        <v>0</v>
      </c>
      <c r="GS278">
        <v>3</v>
      </c>
      <c r="GT278">
        <v>0</v>
      </c>
      <c r="GU278" t="s">
        <v>3</v>
      </c>
      <c r="GV278">
        <f t="shared" si="280"/>
        <v>0</v>
      </c>
      <c r="GW278">
        <v>1</v>
      </c>
      <c r="GX278">
        <f t="shared" si="281"/>
        <v>0</v>
      </c>
      <c r="HA278">
        <v>0</v>
      </c>
      <c r="HB278">
        <v>0</v>
      </c>
      <c r="HC278">
        <f t="shared" si="282"/>
        <v>0</v>
      </c>
      <c r="HE278" t="s">
        <v>3</v>
      </c>
      <c r="HF278" t="s">
        <v>3</v>
      </c>
      <c r="HM278" t="s">
        <v>3</v>
      </c>
      <c r="HN278" t="s">
        <v>3</v>
      </c>
      <c r="HO278" t="s">
        <v>3</v>
      </c>
      <c r="HP278" t="s">
        <v>3</v>
      </c>
      <c r="HQ278" t="s">
        <v>3</v>
      </c>
      <c r="IK278">
        <v>0</v>
      </c>
    </row>
    <row r="279" spans="1:245" x14ac:dyDescent="0.2">
      <c r="A279">
        <v>17</v>
      </c>
      <c r="B279">
        <v>1</v>
      </c>
      <c r="D279">
        <f>ROW(EtalonRes!A152)</f>
        <v>152</v>
      </c>
      <c r="E279" t="s">
        <v>3</v>
      </c>
      <c r="F279" t="s">
        <v>284</v>
      </c>
      <c r="G279" t="s">
        <v>296</v>
      </c>
      <c r="H279" t="s">
        <v>31</v>
      </c>
      <c r="I279">
        <f>ROUND(1*15/10,9)</f>
        <v>1.5</v>
      </c>
      <c r="J279">
        <v>0</v>
      </c>
      <c r="K279">
        <f>ROUND(1*15/10,9)</f>
        <v>1.5</v>
      </c>
      <c r="O279">
        <f t="shared" si="250"/>
        <v>3621.51</v>
      </c>
      <c r="P279">
        <f t="shared" si="251"/>
        <v>0</v>
      </c>
      <c r="Q279">
        <f t="shared" si="252"/>
        <v>0</v>
      </c>
      <c r="R279">
        <f t="shared" si="253"/>
        <v>0</v>
      </c>
      <c r="S279">
        <f t="shared" si="254"/>
        <v>3621.51</v>
      </c>
      <c r="T279">
        <f t="shared" si="255"/>
        <v>0</v>
      </c>
      <c r="U279">
        <f t="shared" si="256"/>
        <v>5.8650000000000002</v>
      </c>
      <c r="V279">
        <f t="shared" si="257"/>
        <v>0</v>
      </c>
      <c r="W279">
        <f t="shared" si="258"/>
        <v>0</v>
      </c>
      <c r="X279">
        <f t="shared" si="259"/>
        <v>2535.06</v>
      </c>
      <c r="Y279">
        <f t="shared" si="260"/>
        <v>362.15</v>
      </c>
      <c r="AA279">
        <v>-1</v>
      </c>
      <c r="AB279">
        <f t="shared" si="261"/>
        <v>2414.34</v>
      </c>
      <c r="AC279">
        <f>ROUND(((ES279*17)),6)</f>
        <v>0</v>
      </c>
      <c r="AD279">
        <f>ROUND(((((ET279*17))-((EU279*17)))+AE279),6)</f>
        <v>0</v>
      </c>
      <c r="AE279">
        <f>ROUND(((EU279*17)),6)</f>
        <v>0</v>
      </c>
      <c r="AF279">
        <f>ROUND(((EV279*17)),6)</f>
        <v>2414.34</v>
      </c>
      <c r="AG279">
        <f t="shared" si="262"/>
        <v>0</v>
      </c>
      <c r="AH279">
        <f>((EW279*17))</f>
        <v>3.91</v>
      </c>
      <c r="AI279">
        <f>((EX279*17))</f>
        <v>0</v>
      </c>
      <c r="AJ279">
        <f t="shared" si="263"/>
        <v>0</v>
      </c>
      <c r="AK279">
        <v>142.02000000000001</v>
      </c>
      <c r="AL279">
        <v>0</v>
      </c>
      <c r="AM279">
        <v>0</v>
      </c>
      <c r="AN279">
        <v>0</v>
      </c>
      <c r="AO279">
        <v>142.02000000000001</v>
      </c>
      <c r="AP279">
        <v>0</v>
      </c>
      <c r="AQ279">
        <v>0.23</v>
      </c>
      <c r="AR279">
        <v>0</v>
      </c>
      <c r="AS279">
        <v>0</v>
      </c>
      <c r="AT279">
        <v>70</v>
      </c>
      <c r="AU279">
        <v>10</v>
      </c>
      <c r="AV279">
        <v>1</v>
      </c>
      <c r="AW279">
        <v>1</v>
      </c>
      <c r="AZ279">
        <v>1</v>
      </c>
      <c r="BA279">
        <v>1</v>
      </c>
      <c r="BB279">
        <v>1</v>
      </c>
      <c r="BC279">
        <v>1</v>
      </c>
      <c r="BD279" t="s">
        <v>3</v>
      </c>
      <c r="BE279" t="s">
        <v>3</v>
      </c>
      <c r="BF279" t="s">
        <v>3</v>
      </c>
      <c r="BG279" t="s">
        <v>3</v>
      </c>
      <c r="BH279">
        <v>0</v>
      </c>
      <c r="BI279">
        <v>4</v>
      </c>
      <c r="BJ279" t="s">
        <v>286</v>
      </c>
      <c r="BM279">
        <v>0</v>
      </c>
      <c r="BN279">
        <v>0</v>
      </c>
      <c r="BO279" t="s">
        <v>3</v>
      </c>
      <c r="BP279">
        <v>0</v>
      </c>
      <c r="BQ279">
        <v>1</v>
      </c>
      <c r="BR279">
        <v>0</v>
      </c>
      <c r="BS279">
        <v>1</v>
      </c>
      <c r="BT279">
        <v>1</v>
      </c>
      <c r="BU279">
        <v>1</v>
      </c>
      <c r="BV279">
        <v>1</v>
      </c>
      <c r="BW279">
        <v>1</v>
      </c>
      <c r="BX279">
        <v>1</v>
      </c>
      <c r="BY279" t="s">
        <v>3</v>
      </c>
      <c r="BZ279">
        <v>70</v>
      </c>
      <c r="CA279">
        <v>10</v>
      </c>
      <c r="CB279" t="s">
        <v>3</v>
      </c>
      <c r="CE279">
        <v>0</v>
      </c>
      <c r="CF279">
        <v>0</v>
      </c>
      <c r="CG279">
        <v>0</v>
      </c>
      <c r="CM279">
        <v>0</v>
      </c>
      <c r="CN279" t="s">
        <v>3</v>
      </c>
      <c r="CO279">
        <v>0</v>
      </c>
      <c r="CP279">
        <f t="shared" si="264"/>
        <v>3621.51</v>
      </c>
      <c r="CQ279">
        <f t="shared" si="265"/>
        <v>0</v>
      </c>
      <c r="CR279">
        <f>(((((ET279*17))*BB279-((EU279*17))*BS279)+AE279*BS279)*AV279)</f>
        <v>0</v>
      </c>
      <c r="CS279">
        <f t="shared" si="266"/>
        <v>0</v>
      </c>
      <c r="CT279">
        <f t="shared" si="267"/>
        <v>2414.34</v>
      </c>
      <c r="CU279">
        <f t="shared" si="268"/>
        <v>0</v>
      </c>
      <c r="CV279">
        <f t="shared" si="269"/>
        <v>3.91</v>
      </c>
      <c r="CW279">
        <f t="shared" si="270"/>
        <v>0</v>
      </c>
      <c r="CX279">
        <f t="shared" si="271"/>
        <v>0</v>
      </c>
      <c r="CY279">
        <f t="shared" si="272"/>
        <v>2535.0570000000002</v>
      </c>
      <c r="CZ279">
        <f t="shared" si="273"/>
        <v>362.15100000000007</v>
      </c>
      <c r="DC279" t="s">
        <v>3</v>
      </c>
      <c r="DD279" t="s">
        <v>46</v>
      </c>
      <c r="DE279" t="s">
        <v>46</v>
      </c>
      <c r="DF279" t="s">
        <v>46</v>
      </c>
      <c r="DG279" t="s">
        <v>46</v>
      </c>
      <c r="DH279" t="s">
        <v>3</v>
      </c>
      <c r="DI279" t="s">
        <v>46</v>
      </c>
      <c r="DJ279" t="s">
        <v>46</v>
      </c>
      <c r="DK279" t="s">
        <v>3</v>
      </c>
      <c r="DL279" t="s">
        <v>3</v>
      </c>
      <c r="DM279" t="s">
        <v>3</v>
      </c>
      <c r="DN279">
        <v>0</v>
      </c>
      <c r="DO279">
        <v>0</v>
      </c>
      <c r="DP279">
        <v>1</v>
      </c>
      <c r="DQ279">
        <v>1</v>
      </c>
      <c r="DU279">
        <v>16987630</v>
      </c>
      <c r="DV279" t="s">
        <v>31</v>
      </c>
      <c r="DW279" t="s">
        <v>31</v>
      </c>
      <c r="DX279">
        <v>10</v>
      </c>
      <c r="DZ279" t="s">
        <v>3</v>
      </c>
      <c r="EA279" t="s">
        <v>3</v>
      </c>
      <c r="EB279" t="s">
        <v>3</v>
      </c>
      <c r="EC279" t="s">
        <v>3</v>
      </c>
      <c r="EE279">
        <v>1441815344</v>
      </c>
      <c r="EF279">
        <v>1</v>
      </c>
      <c r="EG279" t="s">
        <v>21</v>
      </c>
      <c r="EH279">
        <v>0</v>
      </c>
      <c r="EI279" t="s">
        <v>3</v>
      </c>
      <c r="EJ279">
        <v>4</v>
      </c>
      <c r="EK279">
        <v>0</v>
      </c>
      <c r="EL279" t="s">
        <v>22</v>
      </c>
      <c r="EM279" t="s">
        <v>23</v>
      </c>
      <c r="EO279" t="s">
        <v>3</v>
      </c>
      <c r="EQ279">
        <v>1024</v>
      </c>
      <c r="ER279">
        <v>142.02000000000001</v>
      </c>
      <c r="ES279">
        <v>0</v>
      </c>
      <c r="ET279">
        <v>0</v>
      </c>
      <c r="EU279">
        <v>0</v>
      </c>
      <c r="EV279">
        <v>142.02000000000001</v>
      </c>
      <c r="EW279">
        <v>0.23</v>
      </c>
      <c r="EX279">
        <v>0</v>
      </c>
      <c r="EY279">
        <v>0</v>
      </c>
      <c r="FQ279">
        <v>0</v>
      </c>
      <c r="FR279">
        <f t="shared" si="274"/>
        <v>0</v>
      </c>
      <c r="FS279">
        <v>0</v>
      </c>
      <c r="FX279">
        <v>70</v>
      </c>
      <c r="FY279">
        <v>10</v>
      </c>
      <c r="GA279" t="s">
        <v>3</v>
      </c>
      <c r="GD279">
        <v>0</v>
      </c>
      <c r="GF279">
        <v>-1595862643</v>
      </c>
      <c r="GG279">
        <v>2</v>
      </c>
      <c r="GH279">
        <v>1</v>
      </c>
      <c r="GI279">
        <v>-2</v>
      </c>
      <c r="GJ279">
        <v>0</v>
      </c>
      <c r="GK279">
        <f>ROUND(R279*(R12)/100,2)</f>
        <v>0</v>
      </c>
      <c r="GL279">
        <f t="shared" si="275"/>
        <v>0</v>
      </c>
      <c r="GM279">
        <f t="shared" si="276"/>
        <v>6518.72</v>
      </c>
      <c r="GN279">
        <f t="shared" si="277"/>
        <v>0</v>
      </c>
      <c r="GO279">
        <f t="shared" si="278"/>
        <v>0</v>
      </c>
      <c r="GP279">
        <f t="shared" si="279"/>
        <v>6518.72</v>
      </c>
      <c r="GR279">
        <v>0</v>
      </c>
      <c r="GS279">
        <v>3</v>
      </c>
      <c r="GT279">
        <v>0</v>
      </c>
      <c r="GU279" t="s">
        <v>3</v>
      </c>
      <c r="GV279">
        <f t="shared" si="280"/>
        <v>0</v>
      </c>
      <c r="GW279">
        <v>1</v>
      </c>
      <c r="GX279">
        <f t="shared" si="281"/>
        <v>0</v>
      </c>
      <c r="HA279">
        <v>0</v>
      </c>
      <c r="HB279">
        <v>0</v>
      </c>
      <c r="HC279">
        <f t="shared" si="282"/>
        <v>0</v>
      </c>
      <c r="HE279" t="s">
        <v>3</v>
      </c>
      <c r="HF279" t="s">
        <v>3</v>
      </c>
      <c r="HM279" t="s">
        <v>3</v>
      </c>
      <c r="HN279" t="s">
        <v>3</v>
      </c>
      <c r="HO279" t="s">
        <v>3</v>
      </c>
      <c r="HP279" t="s">
        <v>3</v>
      </c>
      <c r="HQ279" t="s">
        <v>3</v>
      </c>
      <c r="IK279">
        <v>0</v>
      </c>
    </row>
    <row r="280" spans="1:245" x14ac:dyDescent="0.2">
      <c r="A280">
        <v>17</v>
      </c>
      <c r="B280">
        <v>1</v>
      </c>
      <c r="D280">
        <f>ROW(EtalonRes!A154)</f>
        <v>154</v>
      </c>
      <c r="E280" t="s">
        <v>297</v>
      </c>
      <c r="F280" t="s">
        <v>39</v>
      </c>
      <c r="G280" t="s">
        <v>298</v>
      </c>
      <c r="H280" t="s">
        <v>36</v>
      </c>
      <c r="I280">
        <f>ROUND((1)*15,9)</f>
        <v>15</v>
      </c>
      <c r="J280">
        <v>0</v>
      </c>
      <c r="K280">
        <f>ROUND((1)*15,9)</f>
        <v>15</v>
      </c>
      <c r="O280">
        <f t="shared" si="250"/>
        <v>4292.7</v>
      </c>
      <c r="P280">
        <f t="shared" si="251"/>
        <v>0</v>
      </c>
      <c r="Q280">
        <f t="shared" si="252"/>
        <v>1172.7</v>
      </c>
      <c r="R280">
        <f t="shared" si="253"/>
        <v>743.55</v>
      </c>
      <c r="S280">
        <f t="shared" si="254"/>
        <v>3120</v>
      </c>
      <c r="T280">
        <f t="shared" si="255"/>
        <v>0</v>
      </c>
      <c r="U280">
        <f t="shared" si="256"/>
        <v>5.55</v>
      </c>
      <c r="V280">
        <f t="shared" si="257"/>
        <v>0</v>
      </c>
      <c r="W280">
        <f t="shared" si="258"/>
        <v>0</v>
      </c>
      <c r="X280">
        <f t="shared" si="259"/>
        <v>2184</v>
      </c>
      <c r="Y280">
        <f t="shared" si="260"/>
        <v>312</v>
      </c>
      <c r="AA280">
        <v>1471718271</v>
      </c>
      <c r="AB280">
        <f t="shared" si="261"/>
        <v>286.18</v>
      </c>
      <c r="AC280">
        <f>ROUND((ES280),6)</f>
        <v>0</v>
      </c>
      <c r="AD280">
        <f>ROUND((((ET280)-(EU280))+AE280),6)</f>
        <v>78.180000000000007</v>
      </c>
      <c r="AE280">
        <f>ROUND((EU280),6)</f>
        <v>49.57</v>
      </c>
      <c r="AF280">
        <f>ROUND((EV280),6)</f>
        <v>208</v>
      </c>
      <c r="AG280">
        <f t="shared" si="262"/>
        <v>0</v>
      </c>
      <c r="AH280">
        <f>(EW280)</f>
        <v>0.37</v>
      </c>
      <c r="AI280">
        <f>(EX280)</f>
        <v>0</v>
      </c>
      <c r="AJ280">
        <f t="shared" si="263"/>
        <v>0</v>
      </c>
      <c r="AK280">
        <v>286.18</v>
      </c>
      <c r="AL280">
        <v>0</v>
      </c>
      <c r="AM280">
        <v>78.180000000000007</v>
      </c>
      <c r="AN280">
        <v>49.57</v>
      </c>
      <c r="AO280">
        <v>208</v>
      </c>
      <c r="AP280">
        <v>0</v>
      </c>
      <c r="AQ280">
        <v>0.37</v>
      </c>
      <c r="AR280">
        <v>0</v>
      </c>
      <c r="AS280">
        <v>0</v>
      </c>
      <c r="AT280">
        <v>70</v>
      </c>
      <c r="AU280">
        <v>10</v>
      </c>
      <c r="AV280">
        <v>1</v>
      </c>
      <c r="AW280">
        <v>1</v>
      </c>
      <c r="AZ280">
        <v>1</v>
      </c>
      <c r="BA280">
        <v>1</v>
      </c>
      <c r="BB280">
        <v>1</v>
      </c>
      <c r="BC280">
        <v>1</v>
      </c>
      <c r="BD280" t="s">
        <v>3</v>
      </c>
      <c r="BE280" t="s">
        <v>3</v>
      </c>
      <c r="BF280" t="s">
        <v>3</v>
      </c>
      <c r="BG280" t="s">
        <v>3</v>
      </c>
      <c r="BH280">
        <v>0</v>
      </c>
      <c r="BI280">
        <v>4</v>
      </c>
      <c r="BJ280" t="s">
        <v>41</v>
      </c>
      <c r="BM280">
        <v>0</v>
      </c>
      <c r="BN280">
        <v>0</v>
      </c>
      <c r="BO280" t="s">
        <v>3</v>
      </c>
      <c r="BP280">
        <v>0</v>
      </c>
      <c r="BQ280">
        <v>1</v>
      </c>
      <c r="BR280">
        <v>0</v>
      </c>
      <c r="BS280">
        <v>1</v>
      </c>
      <c r="BT280">
        <v>1</v>
      </c>
      <c r="BU280">
        <v>1</v>
      </c>
      <c r="BV280">
        <v>1</v>
      </c>
      <c r="BW280">
        <v>1</v>
      </c>
      <c r="BX280">
        <v>1</v>
      </c>
      <c r="BY280" t="s">
        <v>3</v>
      </c>
      <c r="BZ280">
        <v>70</v>
      </c>
      <c r="CA280">
        <v>10</v>
      </c>
      <c r="CB280" t="s">
        <v>3</v>
      </c>
      <c r="CE280">
        <v>0</v>
      </c>
      <c r="CF280">
        <v>0</v>
      </c>
      <c r="CG280">
        <v>0</v>
      </c>
      <c r="CM280">
        <v>0</v>
      </c>
      <c r="CN280" t="s">
        <v>3</v>
      </c>
      <c r="CO280">
        <v>0</v>
      </c>
      <c r="CP280">
        <f t="shared" si="264"/>
        <v>4292.7</v>
      </c>
      <c r="CQ280">
        <f t="shared" si="265"/>
        <v>0</v>
      </c>
      <c r="CR280">
        <f>((((ET280)*BB280-(EU280)*BS280)+AE280*BS280)*AV280)</f>
        <v>78.180000000000007</v>
      </c>
      <c r="CS280">
        <f t="shared" si="266"/>
        <v>49.57</v>
      </c>
      <c r="CT280">
        <f t="shared" si="267"/>
        <v>208</v>
      </c>
      <c r="CU280">
        <f t="shared" si="268"/>
        <v>0</v>
      </c>
      <c r="CV280">
        <f t="shared" si="269"/>
        <v>0.37</v>
      </c>
      <c r="CW280">
        <f t="shared" si="270"/>
        <v>0</v>
      </c>
      <c r="CX280">
        <f t="shared" si="271"/>
        <v>0</v>
      </c>
      <c r="CY280">
        <f t="shared" si="272"/>
        <v>2184</v>
      </c>
      <c r="CZ280">
        <f t="shared" si="273"/>
        <v>312</v>
      </c>
      <c r="DC280" t="s">
        <v>3</v>
      </c>
      <c r="DD280" t="s">
        <v>3</v>
      </c>
      <c r="DE280" t="s">
        <v>3</v>
      </c>
      <c r="DF280" t="s">
        <v>3</v>
      </c>
      <c r="DG280" t="s">
        <v>3</v>
      </c>
      <c r="DH280" t="s">
        <v>3</v>
      </c>
      <c r="DI280" t="s">
        <v>3</v>
      </c>
      <c r="DJ280" t="s">
        <v>3</v>
      </c>
      <c r="DK280" t="s">
        <v>3</v>
      </c>
      <c r="DL280" t="s">
        <v>3</v>
      </c>
      <c r="DM280" t="s">
        <v>3</v>
      </c>
      <c r="DN280">
        <v>0</v>
      </c>
      <c r="DO280">
        <v>0</v>
      </c>
      <c r="DP280">
        <v>1</v>
      </c>
      <c r="DQ280">
        <v>1</v>
      </c>
      <c r="DU280">
        <v>16987630</v>
      </c>
      <c r="DV280" t="s">
        <v>36</v>
      </c>
      <c r="DW280" t="s">
        <v>36</v>
      </c>
      <c r="DX280">
        <v>1</v>
      </c>
      <c r="DZ280" t="s">
        <v>3</v>
      </c>
      <c r="EA280" t="s">
        <v>3</v>
      </c>
      <c r="EB280" t="s">
        <v>3</v>
      </c>
      <c r="EC280" t="s">
        <v>3</v>
      </c>
      <c r="EE280">
        <v>1441815344</v>
      </c>
      <c r="EF280">
        <v>1</v>
      </c>
      <c r="EG280" t="s">
        <v>21</v>
      </c>
      <c r="EH280">
        <v>0</v>
      </c>
      <c r="EI280" t="s">
        <v>3</v>
      </c>
      <c r="EJ280">
        <v>4</v>
      </c>
      <c r="EK280">
        <v>0</v>
      </c>
      <c r="EL280" t="s">
        <v>22</v>
      </c>
      <c r="EM280" t="s">
        <v>23</v>
      </c>
      <c r="EO280" t="s">
        <v>3</v>
      </c>
      <c r="EQ280">
        <v>0</v>
      </c>
      <c r="ER280">
        <v>286.18</v>
      </c>
      <c r="ES280">
        <v>0</v>
      </c>
      <c r="ET280">
        <v>78.180000000000007</v>
      </c>
      <c r="EU280">
        <v>49.57</v>
      </c>
      <c r="EV280">
        <v>208</v>
      </c>
      <c r="EW280">
        <v>0.37</v>
      </c>
      <c r="EX280">
        <v>0</v>
      </c>
      <c r="EY280">
        <v>0</v>
      </c>
      <c r="FQ280">
        <v>0</v>
      </c>
      <c r="FR280">
        <f t="shared" si="274"/>
        <v>0</v>
      </c>
      <c r="FS280">
        <v>0</v>
      </c>
      <c r="FX280">
        <v>70</v>
      </c>
      <c r="FY280">
        <v>10</v>
      </c>
      <c r="GA280" t="s">
        <v>3</v>
      </c>
      <c r="GD280">
        <v>0</v>
      </c>
      <c r="GF280">
        <v>1876420603</v>
      </c>
      <c r="GG280">
        <v>2</v>
      </c>
      <c r="GH280">
        <v>1</v>
      </c>
      <c r="GI280">
        <v>-2</v>
      </c>
      <c r="GJ280">
        <v>0</v>
      </c>
      <c r="GK280">
        <f>ROUND(R280*(R12)/100,2)</f>
        <v>803.03</v>
      </c>
      <c r="GL280">
        <f t="shared" si="275"/>
        <v>0</v>
      </c>
      <c r="GM280">
        <f t="shared" si="276"/>
        <v>7591.73</v>
      </c>
      <c r="GN280">
        <f t="shared" si="277"/>
        <v>0</v>
      </c>
      <c r="GO280">
        <f t="shared" si="278"/>
        <v>0</v>
      </c>
      <c r="GP280">
        <f t="shared" si="279"/>
        <v>7591.73</v>
      </c>
      <c r="GR280">
        <v>0</v>
      </c>
      <c r="GS280">
        <v>3</v>
      </c>
      <c r="GT280">
        <v>0</v>
      </c>
      <c r="GU280" t="s">
        <v>3</v>
      </c>
      <c r="GV280">
        <f t="shared" si="280"/>
        <v>0</v>
      </c>
      <c r="GW280">
        <v>1</v>
      </c>
      <c r="GX280">
        <f t="shared" si="281"/>
        <v>0</v>
      </c>
      <c r="HA280">
        <v>0</v>
      </c>
      <c r="HB280">
        <v>0</v>
      </c>
      <c r="HC280">
        <f t="shared" si="282"/>
        <v>0</v>
      </c>
      <c r="HE280" t="s">
        <v>3</v>
      </c>
      <c r="HF280" t="s">
        <v>3</v>
      </c>
      <c r="HM280" t="s">
        <v>3</v>
      </c>
      <c r="HN280" t="s">
        <v>3</v>
      </c>
      <c r="HO280" t="s">
        <v>3</v>
      </c>
      <c r="HP280" t="s">
        <v>3</v>
      </c>
      <c r="HQ280" t="s">
        <v>3</v>
      </c>
      <c r="IK280">
        <v>0</v>
      </c>
    </row>
    <row r="281" spans="1:245" x14ac:dyDescent="0.2">
      <c r="A281">
        <v>17</v>
      </c>
      <c r="B281">
        <v>1</v>
      </c>
      <c r="D281">
        <f>ROW(EtalonRes!A155)</f>
        <v>155</v>
      </c>
      <c r="E281" t="s">
        <v>3</v>
      </c>
      <c r="F281" t="s">
        <v>79</v>
      </c>
      <c r="G281" t="s">
        <v>80</v>
      </c>
      <c r="H281" t="s">
        <v>36</v>
      </c>
      <c r="I281">
        <f>ROUND(15,9)</f>
        <v>15</v>
      </c>
      <c r="J281">
        <v>0</v>
      </c>
      <c r="K281">
        <f>ROUND(15,9)</f>
        <v>15</v>
      </c>
      <c r="O281">
        <f t="shared" si="250"/>
        <v>4816.2</v>
      </c>
      <c r="P281">
        <f t="shared" si="251"/>
        <v>0</v>
      </c>
      <c r="Q281">
        <f t="shared" si="252"/>
        <v>0</v>
      </c>
      <c r="R281">
        <f t="shared" si="253"/>
        <v>0</v>
      </c>
      <c r="S281">
        <f t="shared" si="254"/>
        <v>4816.2</v>
      </c>
      <c r="T281">
        <f t="shared" si="255"/>
        <v>0</v>
      </c>
      <c r="U281">
        <f t="shared" si="256"/>
        <v>7.8000000000000007</v>
      </c>
      <c r="V281">
        <f t="shared" si="257"/>
        <v>0</v>
      </c>
      <c r="W281">
        <f t="shared" si="258"/>
        <v>0</v>
      </c>
      <c r="X281">
        <f t="shared" si="259"/>
        <v>3371.34</v>
      </c>
      <c r="Y281">
        <f t="shared" si="260"/>
        <v>481.62</v>
      </c>
      <c r="AA281">
        <v>-1</v>
      </c>
      <c r="AB281">
        <f t="shared" si="261"/>
        <v>321.08</v>
      </c>
      <c r="AC281">
        <f>ROUND(((ES281*4)),6)</f>
        <v>0</v>
      </c>
      <c r="AD281">
        <f>ROUND(((((ET281*4))-((EU281*4)))+AE281),6)</f>
        <v>0</v>
      </c>
      <c r="AE281">
        <f t="shared" ref="AE281:AF283" si="285">ROUND(((EU281*4)),6)</f>
        <v>0</v>
      </c>
      <c r="AF281">
        <f t="shared" si="285"/>
        <v>321.08</v>
      </c>
      <c r="AG281">
        <f t="shared" si="262"/>
        <v>0</v>
      </c>
      <c r="AH281">
        <f t="shared" ref="AH281:AI283" si="286">((EW281*4))</f>
        <v>0.52</v>
      </c>
      <c r="AI281">
        <f t="shared" si="286"/>
        <v>0</v>
      </c>
      <c r="AJ281">
        <f t="shared" si="263"/>
        <v>0</v>
      </c>
      <c r="AK281">
        <v>80.27</v>
      </c>
      <c r="AL281">
        <v>0</v>
      </c>
      <c r="AM281">
        <v>0</v>
      </c>
      <c r="AN281">
        <v>0</v>
      </c>
      <c r="AO281">
        <v>80.27</v>
      </c>
      <c r="AP281">
        <v>0</v>
      </c>
      <c r="AQ281">
        <v>0.13</v>
      </c>
      <c r="AR281">
        <v>0</v>
      </c>
      <c r="AS281">
        <v>0</v>
      </c>
      <c r="AT281">
        <v>70</v>
      </c>
      <c r="AU281">
        <v>10</v>
      </c>
      <c r="AV281">
        <v>1</v>
      </c>
      <c r="AW281">
        <v>1</v>
      </c>
      <c r="AZ281">
        <v>1</v>
      </c>
      <c r="BA281">
        <v>1</v>
      </c>
      <c r="BB281">
        <v>1</v>
      </c>
      <c r="BC281">
        <v>1</v>
      </c>
      <c r="BD281" t="s">
        <v>3</v>
      </c>
      <c r="BE281" t="s">
        <v>3</v>
      </c>
      <c r="BF281" t="s">
        <v>3</v>
      </c>
      <c r="BG281" t="s">
        <v>3</v>
      </c>
      <c r="BH281">
        <v>0</v>
      </c>
      <c r="BI281">
        <v>4</v>
      </c>
      <c r="BJ281" t="s">
        <v>81</v>
      </c>
      <c r="BM281">
        <v>0</v>
      </c>
      <c r="BN281">
        <v>0</v>
      </c>
      <c r="BO281" t="s">
        <v>3</v>
      </c>
      <c r="BP281">
        <v>0</v>
      </c>
      <c r="BQ281">
        <v>1</v>
      </c>
      <c r="BR281">
        <v>0</v>
      </c>
      <c r="BS281">
        <v>1</v>
      </c>
      <c r="BT281">
        <v>1</v>
      </c>
      <c r="BU281">
        <v>1</v>
      </c>
      <c r="BV281">
        <v>1</v>
      </c>
      <c r="BW281">
        <v>1</v>
      </c>
      <c r="BX281">
        <v>1</v>
      </c>
      <c r="BY281" t="s">
        <v>3</v>
      </c>
      <c r="BZ281">
        <v>70</v>
      </c>
      <c r="CA281">
        <v>10</v>
      </c>
      <c r="CB281" t="s">
        <v>3</v>
      </c>
      <c r="CE281">
        <v>0</v>
      </c>
      <c r="CF281">
        <v>0</v>
      </c>
      <c r="CG281">
        <v>0</v>
      </c>
      <c r="CM281">
        <v>0</v>
      </c>
      <c r="CN281" t="s">
        <v>3</v>
      </c>
      <c r="CO281">
        <v>0</v>
      </c>
      <c r="CP281">
        <f t="shared" si="264"/>
        <v>4816.2</v>
      </c>
      <c r="CQ281">
        <f t="shared" si="265"/>
        <v>0</v>
      </c>
      <c r="CR281">
        <f>(((((ET281*4))*BB281-((EU281*4))*BS281)+AE281*BS281)*AV281)</f>
        <v>0</v>
      </c>
      <c r="CS281">
        <f t="shared" si="266"/>
        <v>0</v>
      </c>
      <c r="CT281">
        <f t="shared" si="267"/>
        <v>321.08</v>
      </c>
      <c r="CU281">
        <f t="shared" si="268"/>
        <v>0</v>
      </c>
      <c r="CV281">
        <f t="shared" si="269"/>
        <v>0.52</v>
      </c>
      <c r="CW281">
        <f t="shared" si="270"/>
        <v>0</v>
      </c>
      <c r="CX281">
        <f t="shared" si="271"/>
        <v>0</v>
      </c>
      <c r="CY281">
        <f t="shared" si="272"/>
        <v>3371.34</v>
      </c>
      <c r="CZ281">
        <f t="shared" si="273"/>
        <v>481.62</v>
      </c>
      <c r="DC281" t="s">
        <v>3</v>
      </c>
      <c r="DD281" t="s">
        <v>20</v>
      </c>
      <c r="DE281" t="s">
        <v>20</v>
      </c>
      <c r="DF281" t="s">
        <v>20</v>
      </c>
      <c r="DG281" t="s">
        <v>20</v>
      </c>
      <c r="DH281" t="s">
        <v>3</v>
      </c>
      <c r="DI281" t="s">
        <v>20</v>
      </c>
      <c r="DJ281" t="s">
        <v>20</v>
      </c>
      <c r="DK281" t="s">
        <v>3</v>
      </c>
      <c r="DL281" t="s">
        <v>3</v>
      </c>
      <c r="DM281" t="s">
        <v>3</v>
      </c>
      <c r="DN281">
        <v>0</v>
      </c>
      <c r="DO281">
        <v>0</v>
      </c>
      <c r="DP281">
        <v>1</v>
      </c>
      <c r="DQ281">
        <v>1</v>
      </c>
      <c r="DU281">
        <v>16987630</v>
      </c>
      <c r="DV281" t="s">
        <v>36</v>
      </c>
      <c r="DW281" t="s">
        <v>36</v>
      </c>
      <c r="DX281">
        <v>1</v>
      </c>
      <c r="DZ281" t="s">
        <v>3</v>
      </c>
      <c r="EA281" t="s">
        <v>3</v>
      </c>
      <c r="EB281" t="s">
        <v>3</v>
      </c>
      <c r="EC281" t="s">
        <v>3</v>
      </c>
      <c r="EE281">
        <v>1441815344</v>
      </c>
      <c r="EF281">
        <v>1</v>
      </c>
      <c r="EG281" t="s">
        <v>21</v>
      </c>
      <c r="EH281">
        <v>0</v>
      </c>
      <c r="EI281" t="s">
        <v>3</v>
      </c>
      <c r="EJ281">
        <v>4</v>
      </c>
      <c r="EK281">
        <v>0</v>
      </c>
      <c r="EL281" t="s">
        <v>22</v>
      </c>
      <c r="EM281" t="s">
        <v>23</v>
      </c>
      <c r="EO281" t="s">
        <v>3</v>
      </c>
      <c r="EQ281">
        <v>1024</v>
      </c>
      <c r="ER281">
        <v>80.27</v>
      </c>
      <c r="ES281">
        <v>0</v>
      </c>
      <c r="ET281">
        <v>0</v>
      </c>
      <c r="EU281">
        <v>0</v>
      </c>
      <c r="EV281">
        <v>80.27</v>
      </c>
      <c r="EW281">
        <v>0.13</v>
      </c>
      <c r="EX281">
        <v>0</v>
      </c>
      <c r="EY281">
        <v>0</v>
      </c>
      <c r="FQ281">
        <v>0</v>
      </c>
      <c r="FR281">
        <f t="shared" si="274"/>
        <v>0</v>
      </c>
      <c r="FS281">
        <v>0</v>
      </c>
      <c r="FX281">
        <v>70</v>
      </c>
      <c r="FY281">
        <v>10</v>
      </c>
      <c r="GA281" t="s">
        <v>3</v>
      </c>
      <c r="GD281">
        <v>0</v>
      </c>
      <c r="GF281">
        <v>1384570016</v>
      </c>
      <c r="GG281">
        <v>2</v>
      </c>
      <c r="GH281">
        <v>1</v>
      </c>
      <c r="GI281">
        <v>-2</v>
      </c>
      <c r="GJ281">
        <v>0</v>
      </c>
      <c r="GK281">
        <f>ROUND(R281*(R12)/100,2)</f>
        <v>0</v>
      </c>
      <c r="GL281">
        <f t="shared" si="275"/>
        <v>0</v>
      </c>
      <c r="GM281">
        <f t="shared" si="276"/>
        <v>8669.16</v>
      </c>
      <c r="GN281">
        <f t="shared" si="277"/>
        <v>0</v>
      </c>
      <c r="GO281">
        <f t="shared" si="278"/>
        <v>0</v>
      </c>
      <c r="GP281">
        <f t="shared" si="279"/>
        <v>8669.16</v>
      </c>
      <c r="GR281">
        <v>0</v>
      </c>
      <c r="GS281">
        <v>3</v>
      </c>
      <c r="GT281">
        <v>0</v>
      </c>
      <c r="GU281" t="s">
        <v>3</v>
      </c>
      <c r="GV281">
        <f t="shared" si="280"/>
        <v>0</v>
      </c>
      <c r="GW281">
        <v>1</v>
      </c>
      <c r="GX281">
        <f t="shared" si="281"/>
        <v>0</v>
      </c>
      <c r="HA281">
        <v>0</v>
      </c>
      <c r="HB281">
        <v>0</v>
      </c>
      <c r="HC281">
        <f t="shared" si="282"/>
        <v>0</v>
      </c>
      <c r="HE281" t="s">
        <v>3</v>
      </c>
      <c r="HF281" t="s">
        <v>3</v>
      </c>
      <c r="HM281" t="s">
        <v>3</v>
      </c>
      <c r="HN281" t="s">
        <v>3</v>
      </c>
      <c r="HO281" t="s">
        <v>3</v>
      </c>
      <c r="HP281" t="s">
        <v>3</v>
      </c>
      <c r="HQ281" t="s">
        <v>3</v>
      </c>
      <c r="IK281">
        <v>0</v>
      </c>
    </row>
    <row r="282" spans="1:245" x14ac:dyDescent="0.2">
      <c r="A282">
        <v>17</v>
      </c>
      <c r="B282">
        <v>1</v>
      </c>
      <c r="D282">
        <f>ROW(EtalonRes!A156)</f>
        <v>156</v>
      </c>
      <c r="E282" t="s">
        <v>3</v>
      </c>
      <c r="F282" t="s">
        <v>16</v>
      </c>
      <c r="G282" t="s">
        <v>17</v>
      </c>
      <c r="H282" t="s">
        <v>18</v>
      </c>
      <c r="I282">
        <f>ROUND(ROUND((30+6+2)*15*0.1/100,9),9)</f>
        <v>0.56999999999999995</v>
      </c>
      <c r="J282">
        <v>0</v>
      </c>
      <c r="K282">
        <f>ROUND(ROUND((30+6+2)*15*0.1/100,9),9)</f>
        <v>0.56999999999999995</v>
      </c>
      <c r="O282">
        <f t="shared" si="250"/>
        <v>1153.57</v>
      </c>
      <c r="P282">
        <f t="shared" si="251"/>
        <v>0</v>
      </c>
      <c r="Q282">
        <f t="shared" si="252"/>
        <v>0</v>
      </c>
      <c r="R282">
        <f t="shared" si="253"/>
        <v>0</v>
      </c>
      <c r="S282">
        <f t="shared" si="254"/>
        <v>1153.57</v>
      </c>
      <c r="T282">
        <f t="shared" si="255"/>
        <v>0</v>
      </c>
      <c r="U282">
        <f t="shared" si="256"/>
        <v>2.052</v>
      </c>
      <c r="V282">
        <f t="shared" si="257"/>
        <v>0</v>
      </c>
      <c r="W282">
        <f t="shared" si="258"/>
        <v>0</v>
      </c>
      <c r="X282">
        <f t="shared" si="259"/>
        <v>807.5</v>
      </c>
      <c r="Y282">
        <f t="shared" si="260"/>
        <v>115.36</v>
      </c>
      <c r="AA282">
        <v>-1</v>
      </c>
      <c r="AB282">
        <f t="shared" si="261"/>
        <v>2023.8</v>
      </c>
      <c r="AC282">
        <f>ROUND(((ES282*4)),6)</f>
        <v>0</v>
      </c>
      <c r="AD282">
        <f>ROUND(((((ET282*4))-((EU282*4)))+AE282),6)</f>
        <v>0</v>
      </c>
      <c r="AE282">
        <f t="shared" si="285"/>
        <v>0</v>
      </c>
      <c r="AF282">
        <f t="shared" si="285"/>
        <v>2023.8</v>
      </c>
      <c r="AG282">
        <f t="shared" si="262"/>
        <v>0</v>
      </c>
      <c r="AH282">
        <f t="shared" si="286"/>
        <v>3.6</v>
      </c>
      <c r="AI282">
        <f t="shared" si="286"/>
        <v>0</v>
      </c>
      <c r="AJ282">
        <f t="shared" si="263"/>
        <v>0</v>
      </c>
      <c r="AK282">
        <v>505.95</v>
      </c>
      <c r="AL282">
        <v>0</v>
      </c>
      <c r="AM282">
        <v>0</v>
      </c>
      <c r="AN282">
        <v>0</v>
      </c>
      <c r="AO282">
        <v>505.95</v>
      </c>
      <c r="AP282">
        <v>0</v>
      </c>
      <c r="AQ282">
        <v>0.9</v>
      </c>
      <c r="AR282">
        <v>0</v>
      </c>
      <c r="AS282">
        <v>0</v>
      </c>
      <c r="AT282">
        <v>70</v>
      </c>
      <c r="AU282">
        <v>10</v>
      </c>
      <c r="AV282">
        <v>1</v>
      </c>
      <c r="AW282">
        <v>1</v>
      </c>
      <c r="AZ282">
        <v>1</v>
      </c>
      <c r="BA282">
        <v>1</v>
      </c>
      <c r="BB282">
        <v>1</v>
      </c>
      <c r="BC282">
        <v>1</v>
      </c>
      <c r="BD282" t="s">
        <v>3</v>
      </c>
      <c r="BE282" t="s">
        <v>3</v>
      </c>
      <c r="BF282" t="s">
        <v>3</v>
      </c>
      <c r="BG282" t="s">
        <v>3</v>
      </c>
      <c r="BH282">
        <v>0</v>
      </c>
      <c r="BI282">
        <v>4</v>
      </c>
      <c r="BJ282" t="s">
        <v>19</v>
      </c>
      <c r="BM282">
        <v>0</v>
      </c>
      <c r="BN282">
        <v>0</v>
      </c>
      <c r="BO282" t="s">
        <v>3</v>
      </c>
      <c r="BP282">
        <v>0</v>
      </c>
      <c r="BQ282">
        <v>1</v>
      </c>
      <c r="BR282">
        <v>0</v>
      </c>
      <c r="BS282">
        <v>1</v>
      </c>
      <c r="BT282">
        <v>1</v>
      </c>
      <c r="BU282">
        <v>1</v>
      </c>
      <c r="BV282">
        <v>1</v>
      </c>
      <c r="BW282">
        <v>1</v>
      </c>
      <c r="BX282">
        <v>1</v>
      </c>
      <c r="BY282" t="s">
        <v>3</v>
      </c>
      <c r="BZ282">
        <v>70</v>
      </c>
      <c r="CA282">
        <v>10</v>
      </c>
      <c r="CB282" t="s">
        <v>3</v>
      </c>
      <c r="CE282">
        <v>0</v>
      </c>
      <c r="CF282">
        <v>0</v>
      </c>
      <c r="CG282">
        <v>0</v>
      </c>
      <c r="CM282">
        <v>0</v>
      </c>
      <c r="CN282" t="s">
        <v>3</v>
      </c>
      <c r="CO282">
        <v>0</v>
      </c>
      <c r="CP282">
        <f t="shared" si="264"/>
        <v>1153.57</v>
      </c>
      <c r="CQ282">
        <f t="shared" si="265"/>
        <v>0</v>
      </c>
      <c r="CR282">
        <f>(((((ET282*4))*BB282-((EU282*4))*BS282)+AE282*BS282)*AV282)</f>
        <v>0</v>
      </c>
      <c r="CS282">
        <f t="shared" si="266"/>
        <v>0</v>
      </c>
      <c r="CT282">
        <f t="shared" si="267"/>
        <v>2023.8</v>
      </c>
      <c r="CU282">
        <f t="shared" si="268"/>
        <v>0</v>
      </c>
      <c r="CV282">
        <f t="shared" si="269"/>
        <v>3.6</v>
      </c>
      <c r="CW282">
        <f t="shared" si="270"/>
        <v>0</v>
      </c>
      <c r="CX282">
        <f t="shared" si="271"/>
        <v>0</v>
      </c>
      <c r="CY282">
        <f t="shared" si="272"/>
        <v>807.49899999999991</v>
      </c>
      <c r="CZ282">
        <f t="shared" si="273"/>
        <v>115.35699999999999</v>
      </c>
      <c r="DC282" t="s">
        <v>3</v>
      </c>
      <c r="DD282" t="s">
        <v>20</v>
      </c>
      <c r="DE282" t="s">
        <v>20</v>
      </c>
      <c r="DF282" t="s">
        <v>20</v>
      </c>
      <c r="DG282" t="s">
        <v>20</v>
      </c>
      <c r="DH282" t="s">
        <v>3</v>
      </c>
      <c r="DI282" t="s">
        <v>20</v>
      </c>
      <c r="DJ282" t="s">
        <v>20</v>
      </c>
      <c r="DK282" t="s">
        <v>3</v>
      </c>
      <c r="DL282" t="s">
        <v>3</v>
      </c>
      <c r="DM282" t="s">
        <v>3</v>
      </c>
      <c r="DN282">
        <v>0</v>
      </c>
      <c r="DO282">
        <v>0</v>
      </c>
      <c r="DP282">
        <v>1</v>
      </c>
      <c r="DQ282">
        <v>1</v>
      </c>
      <c r="DU282">
        <v>1003</v>
      </c>
      <c r="DV282" t="s">
        <v>18</v>
      </c>
      <c r="DW282" t="s">
        <v>18</v>
      </c>
      <c r="DX282">
        <v>100</v>
      </c>
      <c r="DZ282" t="s">
        <v>3</v>
      </c>
      <c r="EA282" t="s">
        <v>3</v>
      </c>
      <c r="EB282" t="s">
        <v>3</v>
      </c>
      <c r="EC282" t="s">
        <v>3</v>
      </c>
      <c r="EE282">
        <v>1441815344</v>
      </c>
      <c r="EF282">
        <v>1</v>
      </c>
      <c r="EG282" t="s">
        <v>21</v>
      </c>
      <c r="EH282">
        <v>0</v>
      </c>
      <c r="EI282" t="s">
        <v>3</v>
      </c>
      <c r="EJ282">
        <v>4</v>
      </c>
      <c r="EK282">
        <v>0</v>
      </c>
      <c r="EL282" t="s">
        <v>22</v>
      </c>
      <c r="EM282" t="s">
        <v>23</v>
      </c>
      <c r="EO282" t="s">
        <v>3</v>
      </c>
      <c r="EQ282">
        <v>1024</v>
      </c>
      <c r="ER282">
        <v>505.95</v>
      </c>
      <c r="ES282">
        <v>0</v>
      </c>
      <c r="ET282">
        <v>0</v>
      </c>
      <c r="EU282">
        <v>0</v>
      </c>
      <c r="EV282">
        <v>505.95</v>
      </c>
      <c r="EW282">
        <v>0.9</v>
      </c>
      <c r="EX282">
        <v>0</v>
      </c>
      <c r="EY282">
        <v>0</v>
      </c>
      <c r="FQ282">
        <v>0</v>
      </c>
      <c r="FR282">
        <f t="shared" si="274"/>
        <v>0</v>
      </c>
      <c r="FS282">
        <v>0</v>
      </c>
      <c r="FX282">
        <v>70</v>
      </c>
      <c r="FY282">
        <v>10</v>
      </c>
      <c r="GA282" t="s">
        <v>3</v>
      </c>
      <c r="GD282">
        <v>0</v>
      </c>
      <c r="GF282">
        <v>-341239612</v>
      </c>
      <c r="GG282">
        <v>2</v>
      </c>
      <c r="GH282">
        <v>1</v>
      </c>
      <c r="GI282">
        <v>-2</v>
      </c>
      <c r="GJ282">
        <v>0</v>
      </c>
      <c r="GK282">
        <f>ROUND(R282*(R12)/100,2)</f>
        <v>0</v>
      </c>
      <c r="GL282">
        <f t="shared" si="275"/>
        <v>0</v>
      </c>
      <c r="GM282">
        <f t="shared" si="276"/>
        <v>2076.4299999999998</v>
      </c>
      <c r="GN282">
        <f t="shared" si="277"/>
        <v>0</v>
      </c>
      <c r="GO282">
        <f t="shared" si="278"/>
        <v>0</v>
      </c>
      <c r="GP282">
        <f t="shared" si="279"/>
        <v>2076.4299999999998</v>
      </c>
      <c r="GR282">
        <v>0</v>
      </c>
      <c r="GS282">
        <v>3</v>
      </c>
      <c r="GT282">
        <v>0</v>
      </c>
      <c r="GU282" t="s">
        <v>3</v>
      </c>
      <c r="GV282">
        <f t="shared" si="280"/>
        <v>0</v>
      </c>
      <c r="GW282">
        <v>1</v>
      </c>
      <c r="GX282">
        <f t="shared" si="281"/>
        <v>0</v>
      </c>
      <c r="HA282">
        <v>0</v>
      </c>
      <c r="HB282">
        <v>0</v>
      </c>
      <c r="HC282">
        <f t="shared" si="282"/>
        <v>0</v>
      </c>
      <c r="HE282" t="s">
        <v>3</v>
      </c>
      <c r="HF282" t="s">
        <v>3</v>
      </c>
      <c r="HM282" t="s">
        <v>3</v>
      </c>
      <c r="HN282" t="s">
        <v>3</v>
      </c>
      <c r="HO282" t="s">
        <v>3</v>
      </c>
      <c r="HP282" t="s">
        <v>3</v>
      </c>
      <c r="HQ282" t="s">
        <v>3</v>
      </c>
      <c r="IK282">
        <v>0</v>
      </c>
    </row>
    <row r="283" spans="1:245" x14ac:dyDescent="0.2">
      <c r="A283">
        <v>17</v>
      </c>
      <c r="B283">
        <v>1</v>
      </c>
      <c r="D283">
        <f>ROW(EtalonRes!A157)</f>
        <v>157</v>
      </c>
      <c r="E283" t="s">
        <v>3</v>
      </c>
      <c r="F283" t="s">
        <v>299</v>
      </c>
      <c r="G283" t="s">
        <v>300</v>
      </c>
      <c r="H283" t="s">
        <v>18</v>
      </c>
      <c r="I283">
        <f>ROUND(ROUND(((570)*0.75)*3/100,9),9)</f>
        <v>12.824999999999999</v>
      </c>
      <c r="J283">
        <v>0</v>
      </c>
      <c r="K283">
        <f>ROUND(ROUND(((570)*0.75)*3/100,9),9)</f>
        <v>12.824999999999999</v>
      </c>
      <c r="O283">
        <f t="shared" si="250"/>
        <v>139582.68</v>
      </c>
      <c r="P283">
        <f t="shared" si="251"/>
        <v>0</v>
      </c>
      <c r="Q283">
        <f t="shared" si="252"/>
        <v>0</v>
      </c>
      <c r="R283">
        <f t="shared" si="253"/>
        <v>0</v>
      </c>
      <c r="S283">
        <f t="shared" si="254"/>
        <v>139582.68</v>
      </c>
      <c r="T283">
        <f t="shared" si="255"/>
        <v>0</v>
      </c>
      <c r="U283">
        <f t="shared" si="256"/>
        <v>248.29199999999997</v>
      </c>
      <c r="V283">
        <f t="shared" si="257"/>
        <v>0</v>
      </c>
      <c r="W283">
        <f t="shared" si="258"/>
        <v>0</v>
      </c>
      <c r="X283">
        <f t="shared" si="259"/>
        <v>97707.88</v>
      </c>
      <c r="Y283">
        <f t="shared" si="260"/>
        <v>13958.27</v>
      </c>
      <c r="AA283">
        <v>-1</v>
      </c>
      <c r="AB283">
        <f t="shared" si="261"/>
        <v>10883.64</v>
      </c>
      <c r="AC283">
        <f>ROUND(((ES283*4)),6)</f>
        <v>0</v>
      </c>
      <c r="AD283">
        <f>ROUND(((((ET283*4))-((EU283*4)))+AE283),6)</f>
        <v>0</v>
      </c>
      <c r="AE283">
        <f t="shared" si="285"/>
        <v>0</v>
      </c>
      <c r="AF283">
        <f t="shared" si="285"/>
        <v>10883.64</v>
      </c>
      <c r="AG283">
        <f t="shared" si="262"/>
        <v>0</v>
      </c>
      <c r="AH283">
        <f t="shared" si="286"/>
        <v>19.36</v>
      </c>
      <c r="AI283">
        <f t="shared" si="286"/>
        <v>0</v>
      </c>
      <c r="AJ283">
        <f t="shared" si="263"/>
        <v>0</v>
      </c>
      <c r="AK283">
        <v>2720.91</v>
      </c>
      <c r="AL283">
        <v>0</v>
      </c>
      <c r="AM283">
        <v>0</v>
      </c>
      <c r="AN283">
        <v>0</v>
      </c>
      <c r="AO283">
        <v>2720.91</v>
      </c>
      <c r="AP283">
        <v>0</v>
      </c>
      <c r="AQ283">
        <v>4.84</v>
      </c>
      <c r="AR283">
        <v>0</v>
      </c>
      <c r="AS283">
        <v>0</v>
      </c>
      <c r="AT283">
        <v>70</v>
      </c>
      <c r="AU283">
        <v>10</v>
      </c>
      <c r="AV283">
        <v>1</v>
      </c>
      <c r="AW283">
        <v>1</v>
      </c>
      <c r="AZ283">
        <v>1</v>
      </c>
      <c r="BA283">
        <v>1</v>
      </c>
      <c r="BB283">
        <v>1</v>
      </c>
      <c r="BC283">
        <v>1</v>
      </c>
      <c r="BD283" t="s">
        <v>3</v>
      </c>
      <c r="BE283" t="s">
        <v>3</v>
      </c>
      <c r="BF283" t="s">
        <v>3</v>
      </c>
      <c r="BG283" t="s">
        <v>3</v>
      </c>
      <c r="BH283">
        <v>0</v>
      </c>
      <c r="BI283">
        <v>4</v>
      </c>
      <c r="BJ283" t="s">
        <v>301</v>
      </c>
      <c r="BM283">
        <v>0</v>
      </c>
      <c r="BN283">
        <v>0</v>
      </c>
      <c r="BO283" t="s">
        <v>3</v>
      </c>
      <c r="BP283">
        <v>0</v>
      </c>
      <c r="BQ283">
        <v>1</v>
      </c>
      <c r="BR283">
        <v>0</v>
      </c>
      <c r="BS283">
        <v>1</v>
      </c>
      <c r="BT283">
        <v>1</v>
      </c>
      <c r="BU283">
        <v>1</v>
      </c>
      <c r="BV283">
        <v>1</v>
      </c>
      <c r="BW283">
        <v>1</v>
      </c>
      <c r="BX283">
        <v>1</v>
      </c>
      <c r="BY283" t="s">
        <v>3</v>
      </c>
      <c r="BZ283">
        <v>70</v>
      </c>
      <c r="CA283">
        <v>10</v>
      </c>
      <c r="CB283" t="s">
        <v>3</v>
      </c>
      <c r="CE283">
        <v>0</v>
      </c>
      <c r="CF283">
        <v>0</v>
      </c>
      <c r="CG283">
        <v>0</v>
      </c>
      <c r="CM283">
        <v>0</v>
      </c>
      <c r="CN283" t="s">
        <v>3</v>
      </c>
      <c r="CO283">
        <v>0</v>
      </c>
      <c r="CP283">
        <f t="shared" si="264"/>
        <v>139582.68</v>
      </c>
      <c r="CQ283">
        <f t="shared" si="265"/>
        <v>0</v>
      </c>
      <c r="CR283">
        <f>(((((ET283*4))*BB283-((EU283*4))*BS283)+AE283*BS283)*AV283)</f>
        <v>0</v>
      </c>
      <c r="CS283">
        <f t="shared" si="266"/>
        <v>0</v>
      </c>
      <c r="CT283">
        <f t="shared" si="267"/>
        <v>10883.64</v>
      </c>
      <c r="CU283">
        <f t="shared" si="268"/>
        <v>0</v>
      </c>
      <c r="CV283">
        <f t="shared" si="269"/>
        <v>19.36</v>
      </c>
      <c r="CW283">
        <f t="shared" si="270"/>
        <v>0</v>
      </c>
      <c r="CX283">
        <f t="shared" si="271"/>
        <v>0</v>
      </c>
      <c r="CY283">
        <f t="shared" si="272"/>
        <v>97707.875999999989</v>
      </c>
      <c r="CZ283">
        <f t="shared" si="273"/>
        <v>13958.267999999998</v>
      </c>
      <c r="DC283" t="s">
        <v>3</v>
      </c>
      <c r="DD283" t="s">
        <v>20</v>
      </c>
      <c r="DE283" t="s">
        <v>20</v>
      </c>
      <c r="DF283" t="s">
        <v>20</v>
      </c>
      <c r="DG283" t="s">
        <v>20</v>
      </c>
      <c r="DH283" t="s">
        <v>3</v>
      </c>
      <c r="DI283" t="s">
        <v>20</v>
      </c>
      <c r="DJ283" t="s">
        <v>20</v>
      </c>
      <c r="DK283" t="s">
        <v>3</v>
      </c>
      <c r="DL283" t="s">
        <v>3</v>
      </c>
      <c r="DM283" t="s">
        <v>3</v>
      </c>
      <c r="DN283">
        <v>0</v>
      </c>
      <c r="DO283">
        <v>0</v>
      </c>
      <c r="DP283">
        <v>1</v>
      </c>
      <c r="DQ283">
        <v>1</v>
      </c>
      <c r="DU283">
        <v>1003</v>
      </c>
      <c r="DV283" t="s">
        <v>18</v>
      </c>
      <c r="DW283" t="s">
        <v>18</v>
      </c>
      <c r="DX283">
        <v>100</v>
      </c>
      <c r="DZ283" t="s">
        <v>3</v>
      </c>
      <c r="EA283" t="s">
        <v>3</v>
      </c>
      <c r="EB283" t="s">
        <v>3</v>
      </c>
      <c r="EC283" t="s">
        <v>3</v>
      </c>
      <c r="EE283">
        <v>1441815344</v>
      </c>
      <c r="EF283">
        <v>1</v>
      </c>
      <c r="EG283" t="s">
        <v>21</v>
      </c>
      <c r="EH283">
        <v>0</v>
      </c>
      <c r="EI283" t="s">
        <v>3</v>
      </c>
      <c r="EJ283">
        <v>4</v>
      </c>
      <c r="EK283">
        <v>0</v>
      </c>
      <c r="EL283" t="s">
        <v>22</v>
      </c>
      <c r="EM283" t="s">
        <v>23</v>
      </c>
      <c r="EO283" t="s">
        <v>3</v>
      </c>
      <c r="EQ283">
        <v>1024</v>
      </c>
      <c r="ER283">
        <v>2720.91</v>
      </c>
      <c r="ES283">
        <v>0</v>
      </c>
      <c r="ET283">
        <v>0</v>
      </c>
      <c r="EU283">
        <v>0</v>
      </c>
      <c r="EV283">
        <v>2720.91</v>
      </c>
      <c r="EW283">
        <v>4.84</v>
      </c>
      <c r="EX283">
        <v>0</v>
      </c>
      <c r="EY283">
        <v>0</v>
      </c>
      <c r="FQ283">
        <v>0</v>
      </c>
      <c r="FR283">
        <f t="shared" si="274"/>
        <v>0</v>
      </c>
      <c r="FS283">
        <v>0</v>
      </c>
      <c r="FX283">
        <v>70</v>
      </c>
      <c r="FY283">
        <v>10</v>
      </c>
      <c r="GA283" t="s">
        <v>3</v>
      </c>
      <c r="GD283">
        <v>0</v>
      </c>
      <c r="GF283">
        <v>-1706933960</v>
      </c>
      <c r="GG283">
        <v>2</v>
      </c>
      <c r="GH283">
        <v>1</v>
      </c>
      <c r="GI283">
        <v>-2</v>
      </c>
      <c r="GJ283">
        <v>0</v>
      </c>
      <c r="GK283">
        <f>ROUND(R283*(R12)/100,2)</f>
        <v>0</v>
      </c>
      <c r="GL283">
        <f t="shared" si="275"/>
        <v>0</v>
      </c>
      <c r="GM283">
        <f t="shared" si="276"/>
        <v>251248.83</v>
      </c>
      <c r="GN283">
        <f t="shared" si="277"/>
        <v>0</v>
      </c>
      <c r="GO283">
        <f t="shared" si="278"/>
        <v>0</v>
      </c>
      <c r="GP283">
        <f t="shared" si="279"/>
        <v>251248.83</v>
      </c>
      <c r="GR283">
        <v>0</v>
      </c>
      <c r="GS283">
        <v>3</v>
      </c>
      <c r="GT283">
        <v>0</v>
      </c>
      <c r="GU283" t="s">
        <v>3</v>
      </c>
      <c r="GV283">
        <f t="shared" si="280"/>
        <v>0</v>
      </c>
      <c r="GW283">
        <v>1</v>
      </c>
      <c r="GX283">
        <f t="shared" si="281"/>
        <v>0</v>
      </c>
      <c r="HA283">
        <v>0</v>
      </c>
      <c r="HB283">
        <v>0</v>
      </c>
      <c r="HC283">
        <f t="shared" si="282"/>
        <v>0</v>
      </c>
      <c r="HE283" t="s">
        <v>3</v>
      </c>
      <c r="HF283" t="s">
        <v>3</v>
      </c>
      <c r="HM283" t="s">
        <v>3</v>
      </c>
      <c r="HN283" t="s">
        <v>3</v>
      </c>
      <c r="HO283" t="s">
        <v>3</v>
      </c>
      <c r="HP283" t="s">
        <v>3</v>
      </c>
      <c r="HQ283" t="s">
        <v>3</v>
      </c>
      <c r="IK283">
        <v>0</v>
      </c>
    </row>
    <row r="284" spans="1:245" x14ac:dyDescent="0.2">
      <c r="A284">
        <v>17</v>
      </c>
      <c r="B284">
        <v>1</v>
      </c>
      <c r="D284">
        <f>ROW(EtalonRes!A161)</f>
        <v>161</v>
      </c>
      <c r="E284" t="s">
        <v>3</v>
      </c>
      <c r="F284" t="s">
        <v>82</v>
      </c>
      <c r="G284" t="s">
        <v>83</v>
      </c>
      <c r="H284" t="s">
        <v>18</v>
      </c>
      <c r="I284">
        <f>ROUND((6+2+30)*15*0.1/100,9)</f>
        <v>0.56999999999999995</v>
      </c>
      <c r="J284">
        <v>0</v>
      </c>
      <c r="K284">
        <f>ROUND((6+2+30)*15*0.1/100,9)</f>
        <v>0.56999999999999995</v>
      </c>
      <c r="O284">
        <f t="shared" si="250"/>
        <v>9637.23</v>
      </c>
      <c r="P284">
        <f t="shared" si="251"/>
        <v>1555.09</v>
      </c>
      <c r="Q284">
        <f t="shared" si="252"/>
        <v>0</v>
      </c>
      <c r="R284">
        <f t="shared" si="253"/>
        <v>0</v>
      </c>
      <c r="S284">
        <f t="shared" si="254"/>
        <v>8082.14</v>
      </c>
      <c r="T284">
        <f t="shared" si="255"/>
        <v>0</v>
      </c>
      <c r="U284">
        <f t="shared" si="256"/>
        <v>16.837799999999998</v>
      </c>
      <c r="V284">
        <f t="shared" si="257"/>
        <v>0</v>
      </c>
      <c r="W284">
        <f t="shared" si="258"/>
        <v>0</v>
      </c>
      <c r="X284">
        <f t="shared" si="259"/>
        <v>5657.5</v>
      </c>
      <c r="Y284">
        <f t="shared" si="260"/>
        <v>808.21</v>
      </c>
      <c r="AA284">
        <v>-1</v>
      </c>
      <c r="AB284">
        <f t="shared" si="261"/>
        <v>16907.419999999998</v>
      </c>
      <c r="AC284">
        <f>ROUND((ES284),6)</f>
        <v>2728.22</v>
      </c>
      <c r="AD284">
        <f>ROUND((((ET284)-(EU284))+AE284),6)</f>
        <v>0</v>
      </c>
      <c r="AE284">
        <f>ROUND((EU284),6)</f>
        <v>0</v>
      </c>
      <c r="AF284">
        <f>ROUND((EV284),6)</f>
        <v>14179.2</v>
      </c>
      <c r="AG284">
        <f t="shared" si="262"/>
        <v>0</v>
      </c>
      <c r="AH284">
        <f>(EW284)</f>
        <v>29.54</v>
      </c>
      <c r="AI284">
        <f>(EX284)</f>
        <v>0</v>
      </c>
      <c r="AJ284">
        <f t="shared" si="263"/>
        <v>0</v>
      </c>
      <c r="AK284">
        <v>16907.419999999998</v>
      </c>
      <c r="AL284">
        <v>2728.22</v>
      </c>
      <c r="AM284">
        <v>0</v>
      </c>
      <c r="AN284">
        <v>0</v>
      </c>
      <c r="AO284">
        <v>14179.2</v>
      </c>
      <c r="AP284">
        <v>0</v>
      </c>
      <c r="AQ284">
        <v>29.54</v>
      </c>
      <c r="AR284">
        <v>0</v>
      </c>
      <c r="AS284">
        <v>0</v>
      </c>
      <c r="AT284">
        <v>70</v>
      </c>
      <c r="AU284">
        <v>10</v>
      </c>
      <c r="AV284">
        <v>1</v>
      </c>
      <c r="AW284">
        <v>1</v>
      </c>
      <c r="AZ284">
        <v>1</v>
      </c>
      <c r="BA284">
        <v>1</v>
      </c>
      <c r="BB284">
        <v>1</v>
      </c>
      <c r="BC284">
        <v>1</v>
      </c>
      <c r="BD284" t="s">
        <v>3</v>
      </c>
      <c r="BE284" t="s">
        <v>3</v>
      </c>
      <c r="BF284" t="s">
        <v>3</v>
      </c>
      <c r="BG284" t="s">
        <v>3</v>
      </c>
      <c r="BH284">
        <v>0</v>
      </c>
      <c r="BI284">
        <v>4</v>
      </c>
      <c r="BJ284" t="s">
        <v>84</v>
      </c>
      <c r="BM284">
        <v>0</v>
      </c>
      <c r="BN284">
        <v>0</v>
      </c>
      <c r="BO284" t="s">
        <v>3</v>
      </c>
      <c r="BP284">
        <v>0</v>
      </c>
      <c r="BQ284">
        <v>1</v>
      </c>
      <c r="BR284">
        <v>0</v>
      </c>
      <c r="BS284">
        <v>1</v>
      </c>
      <c r="BT284">
        <v>1</v>
      </c>
      <c r="BU284">
        <v>1</v>
      </c>
      <c r="BV284">
        <v>1</v>
      </c>
      <c r="BW284">
        <v>1</v>
      </c>
      <c r="BX284">
        <v>1</v>
      </c>
      <c r="BY284" t="s">
        <v>3</v>
      </c>
      <c r="BZ284">
        <v>70</v>
      </c>
      <c r="CA284">
        <v>10</v>
      </c>
      <c r="CB284" t="s">
        <v>3</v>
      </c>
      <c r="CE284">
        <v>0</v>
      </c>
      <c r="CF284">
        <v>0</v>
      </c>
      <c r="CG284">
        <v>0</v>
      </c>
      <c r="CM284">
        <v>0</v>
      </c>
      <c r="CN284" t="s">
        <v>3</v>
      </c>
      <c r="CO284">
        <v>0</v>
      </c>
      <c r="CP284">
        <f t="shared" si="264"/>
        <v>9637.23</v>
      </c>
      <c r="CQ284">
        <f t="shared" si="265"/>
        <v>2728.22</v>
      </c>
      <c r="CR284">
        <f>((((ET284)*BB284-(EU284)*BS284)+AE284*BS284)*AV284)</f>
        <v>0</v>
      </c>
      <c r="CS284">
        <f t="shared" si="266"/>
        <v>0</v>
      </c>
      <c r="CT284">
        <f t="shared" si="267"/>
        <v>14179.2</v>
      </c>
      <c r="CU284">
        <f t="shared" si="268"/>
        <v>0</v>
      </c>
      <c r="CV284">
        <f t="shared" si="269"/>
        <v>29.54</v>
      </c>
      <c r="CW284">
        <f t="shared" si="270"/>
        <v>0</v>
      </c>
      <c r="CX284">
        <f t="shared" si="271"/>
        <v>0</v>
      </c>
      <c r="CY284">
        <f t="shared" si="272"/>
        <v>5657.4980000000005</v>
      </c>
      <c r="CZ284">
        <f t="shared" si="273"/>
        <v>808.21400000000006</v>
      </c>
      <c r="DC284" t="s">
        <v>3</v>
      </c>
      <c r="DD284" t="s">
        <v>3</v>
      </c>
      <c r="DE284" t="s">
        <v>3</v>
      </c>
      <c r="DF284" t="s">
        <v>3</v>
      </c>
      <c r="DG284" t="s">
        <v>3</v>
      </c>
      <c r="DH284" t="s">
        <v>3</v>
      </c>
      <c r="DI284" t="s">
        <v>3</v>
      </c>
      <c r="DJ284" t="s">
        <v>3</v>
      </c>
      <c r="DK284" t="s">
        <v>3</v>
      </c>
      <c r="DL284" t="s">
        <v>3</v>
      </c>
      <c r="DM284" t="s">
        <v>3</v>
      </c>
      <c r="DN284">
        <v>0</v>
      </c>
      <c r="DO284">
        <v>0</v>
      </c>
      <c r="DP284">
        <v>1</v>
      </c>
      <c r="DQ284">
        <v>1</v>
      </c>
      <c r="DU284">
        <v>1003</v>
      </c>
      <c r="DV284" t="s">
        <v>18</v>
      </c>
      <c r="DW284" t="s">
        <v>18</v>
      </c>
      <c r="DX284">
        <v>100</v>
      </c>
      <c r="DZ284" t="s">
        <v>3</v>
      </c>
      <c r="EA284" t="s">
        <v>3</v>
      </c>
      <c r="EB284" t="s">
        <v>3</v>
      </c>
      <c r="EC284" t="s">
        <v>3</v>
      </c>
      <c r="EE284">
        <v>1441815344</v>
      </c>
      <c r="EF284">
        <v>1</v>
      </c>
      <c r="EG284" t="s">
        <v>21</v>
      </c>
      <c r="EH284">
        <v>0</v>
      </c>
      <c r="EI284" t="s">
        <v>3</v>
      </c>
      <c r="EJ284">
        <v>4</v>
      </c>
      <c r="EK284">
        <v>0</v>
      </c>
      <c r="EL284" t="s">
        <v>22</v>
      </c>
      <c r="EM284" t="s">
        <v>23</v>
      </c>
      <c r="EO284" t="s">
        <v>3</v>
      </c>
      <c r="EQ284">
        <v>1311744</v>
      </c>
      <c r="ER284">
        <v>16907.419999999998</v>
      </c>
      <c r="ES284">
        <v>2728.22</v>
      </c>
      <c r="ET284">
        <v>0</v>
      </c>
      <c r="EU284">
        <v>0</v>
      </c>
      <c r="EV284">
        <v>14179.2</v>
      </c>
      <c r="EW284">
        <v>29.54</v>
      </c>
      <c r="EX284">
        <v>0</v>
      </c>
      <c r="EY284">
        <v>0</v>
      </c>
      <c r="FQ284">
        <v>0</v>
      </c>
      <c r="FR284">
        <f t="shared" si="274"/>
        <v>0</v>
      </c>
      <c r="FS284">
        <v>0</v>
      </c>
      <c r="FX284">
        <v>70</v>
      </c>
      <c r="FY284">
        <v>10</v>
      </c>
      <c r="GA284" t="s">
        <v>3</v>
      </c>
      <c r="GD284">
        <v>0</v>
      </c>
      <c r="GF284">
        <v>-317825441</v>
      </c>
      <c r="GG284">
        <v>2</v>
      </c>
      <c r="GH284">
        <v>1</v>
      </c>
      <c r="GI284">
        <v>-2</v>
      </c>
      <c r="GJ284">
        <v>0</v>
      </c>
      <c r="GK284">
        <f>ROUND(R284*(R12)/100,2)</f>
        <v>0</v>
      </c>
      <c r="GL284">
        <f t="shared" si="275"/>
        <v>0</v>
      </c>
      <c r="GM284">
        <f t="shared" si="276"/>
        <v>16102.94</v>
      </c>
      <c r="GN284">
        <f t="shared" si="277"/>
        <v>0</v>
      </c>
      <c r="GO284">
        <f t="shared" si="278"/>
        <v>0</v>
      </c>
      <c r="GP284">
        <f t="shared" si="279"/>
        <v>16102.94</v>
      </c>
      <c r="GR284">
        <v>0</v>
      </c>
      <c r="GS284">
        <v>3</v>
      </c>
      <c r="GT284">
        <v>0</v>
      </c>
      <c r="GU284" t="s">
        <v>3</v>
      </c>
      <c r="GV284">
        <f t="shared" si="280"/>
        <v>0</v>
      </c>
      <c r="GW284">
        <v>1</v>
      </c>
      <c r="GX284">
        <f t="shared" si="281"/>
        <v>0</v>
      </c>
      <c r="HA284">
        <v>0</v>
      </c>
      <c r="HB284">
        <v>0</v>
      </c>
      <c r="HC284">
        <f t="shared" si="282"/>
        <v>0</v>
      </c>
      <c r="HE284" t="s">
        <v>3</v>
      </c>
      <c r="HF284" t="s">
        <v>3</v>
      </c>
      <c r="HM284" t="s">
        <v>3</v>
      </c>
      <c r="HN284" t="s">
        <v>3</v>
      </c>
      <c r="HO284" t="s">
        <v>3</v>
      </c>
      <c r="HP284" t="s">
        <v>3</v>
      </c>
      <c r="HQ284" t="s">
        <v>3</v>
      </c>
      <c r="IK284">
        <v>0</v>
      </c>
    </row>
    <row r="285" spans="1:245" x14ac:dyDescent="0.2">
      <c r="A285">
        <v>17</v>
      </c>
      <c r="B285">
        <v>1</v>
      </c>
      <c r="D285">
        <f>ROW(EtalonRes!A162)</f>
        <v>162</v>
      </c>
      <c r="E285" t="s">
        <v>302</v>
      </c>
      <c r="F285" t="s">
        <v>86</v>
      </c>
      <c r="G285" t="s">
        <v>87</v>
      </c>
      <c r="H285" t="s">
        <v>31</v>
      </c>
      <c r="I285">
        <f>ROUND(15/10,9)</f>
        <v>1.5</v>
      </c>
      <c r="J285">
        <v>0</v>
      </c>
      <c r="K285">
        <f>ROUND(15/10,9)</f>
        <v>1.5</v>
      </c>
      <c r="O285">
        <f t="shared" si="250"/>
        <v>3779.04</v>
      </c>
      <c r="P285">
        <f t="shared" si="251"/>
        <v>0</v>
      </c>
      <c r="Q285">
        <f t="shared" si="252"/>
        <v>0</v>
      </c>
      <c r="R285">
        <f t="shared" si="253"/>
        <v>0</v>
      </c>
      <c r="S285">
        <f t="shared" si="254"/>
        <v>3779.04</v>
      </c>
      <c r="T285">
        <f t="shared" si="255"/>
        <v>0</v>
      </c>
      <c r="U285">
        <f t="shared" si="256"/>
        <v>6.12</v>
      </c>
      <c r="V285">
        <f t="shared" si="257"/>
        <v>0</v>
      </c>
      <c r="W285">
        <f t="shared" si="258"/>
        <v>0</v>
      </c>
      <c r="X285">
        <f t="shared" si="259"/>
        <v>2645.33</v>
      </c>
      <c r="Y285">
        <f t="shared" si="260"/>
        <v>377.9</v>
      </c>
      <c r="AA285">
        <v>1471718271</v>
      </c>
      <c r="AB285">
        <f t="shared" si="261"/>
        <v>2519.36</v>
      </c>
      <c r="AC285">
        <f>ROUND(((ES285*2)),6)</f>
        <v>0</v>
      </c>
      <c r="AD285">
        <f>ROUND(((((ET285*2))-((EU285*2)))+AE285),6)</f>
        <v>0</v>
      </c>
      <c r="AE285">
        <f>ROUND(((EU285*2)),6)</f>
        <v>0</v>
      </c>
      <c r="AF285">
        <f>ROUND(((EV285*2)),6)</f>
        <v>2519.36</v>
      </c>
      <c r="AG285">
        <f t="shared" si="262"/>
        <v>0</v>
      </c>
      <c r="AH285">
        <f>((EW285*2))</f>
        <v>4.08</v>
      </c>
      <c r="AI285">
        <f>((EX285*2))</f>
        <v>0</v>
      </c>
      <c r="AJ285">
        <f t="shared" si="263"/>
        <v>0</v>
      </c>
      <c r="AK285">
        <v>1259.68</v>
      </c>
      <c r="AL285">
        <v>0</v>
      </c>
      <c r="AM285">
        <v>0</v>
      </c>
      <c r="AN285">
        <v>0</v>
      </c>
      <c r="AO285">
        <v>1259.68</v>
      </c>
      <c r="AP285">
        <v>0</v>
      </c>
      <c r="AQ285">
        <v>2.04</v>
      </c>
      <c r="AR285">
        <v>0</v>
      </c>
      <c r="AS285">
        <v>0</v>
      </c>
      <c r="AT285">
        <v>70</v>
      </c>
      <c r="AU285">
        <v>10</v>
      </c>
      <c r="AV285">
        <v>1</v>
      </c>
      <c r="AW285">
        <v>1</v>
      </c>
      <c r="AZ285">
        <v>1</v>
      </c>
      <c r="BA285">
        <v>1</v>
      </c>
      <c r="BB285">
        <v>1</v>
      </c>
      <c r="BC285">
        <v>1</v>
      </c>
      <c r="BD285" t="s">
        <v>3</v>
      </c>
      <c r="BE285" t="s">
        <v>3</v>
      </c>
      <c r="BF285" t="s">
        <v>3</v>
      </c>
      <c r="BG285" t="s">
        <v>3</v>
      </c>
      <c r="BH285">
        <v>0</v>
      </c>
      <c r="BI285">
        <v>4</v>
      </c>
      <c r="BJ285" t="s">
        <v>88</v>
      </c>
      <c r="BM285">
        <v>0</v>
      </c>
      <c r="BN285">
        <v>0</v>
      </c>
      <c r="BO285" t="s">
        <v>3</v>
      </c>
      <c r="BP285">
        <v>0</v>
      </c>
      <c r="BQ285">
        <v>1</v>
      </c>
      <c r="BR285">
        <v>0</v>
      </c>
      <c r="BS285">
        <v>1</v>
      </c>
      <c r="BT285">
        <v>1</v>
      </c>
      <c r="BU285">
        <v>1</v>
      </c>
      <c r="BV285">
        <v>1</v>
      </c>
      <c r="BW285">
        <v>1</v>
      </c>
      <c r="BX285">
        <v>1</v>
      </c>
      <c r="BY285" t="s">
        <v>3</v>
      </c>
      <c r="BZ285">
        <v>70</v>
      </c>
      <c r="CA285">
        <v>10</v>
      </c>
      <c r="CB285" t="s">
        <v>3</v>
      </c>
      <c r="CE285">
        <v>0</v>
      </c>
      <c r="CF285">
        <v>0</v>
      </c>
      <c r="CG285">
        <v>0</v>
      </c>
      <c r="CM285">
        <v>0</v>
      </c>
      <c r="CN285" t="s">
        <v>3</v>
      </c>
      <c r="CO285">
        <v>0</v>
      </c>
      <c r="CP285">
        <f t="shared" si="264"/>
        <v>3779.04</v>
      </c>
      <c r="CQ285">
        <f t="shared" si="265"/>
        <v>0</v>
      </c>
      <c r="CR285">
        <f>(((((ET285*2))*BB285-((EU285*2))*BS285)+AE285*BS285)*AV285)</f>
        <v>0</v>
      </c>
      <c r="CS285">
        <f t="shared" si="266"/>
        <v>0</v>
      </c>
      <c r="CT285">
        <f t="shared" si="267"/>
        <v>2519.36</v>
      </c>
      <c r="CU285">
        <f t="shared" si="268"/>
        <v>0</v>
      </c>
      <c r="CV285">
        <f t="shared" si="269"/>
        <v>4.08</v>
      </c>
      <c r="CW285">
        <f t="shared" si="270"/>
        <v>0</v>
      </c>
      <c r="CX285">
        <f t="shared" si="271"/>
        <v>0</v>
      </c>
      <c r="CY285">
        <f t="shared" si="272"/>
        <v>2645.328</v>
      </c>
      <c r="CZ285">
        <f t="shared" si="273"/>
        <v>377.904</v>
      </c>
      <c r="DC285" t="s">
        <v>3</v>
      </c>
      <c r="DD285" t="s">
        <v>42</v>
      </c>
      <c r="DE285" t="s">
        <v>42</v>
      </c>
      <c r="DF285" t="s">
        <v>42</v>
      </c>
      <c r="DG285" t="s">
        <v>42</v>
      </c>
      <c r="DH285" t="s">
        <v>3</v>
      </c>
      <c r="DI285" t="s">
        <v>42</v>
      </c>
      <c r="DJ285" t="s">
        <v>42</v>
      </c>
      <c r="DK285" t="s">
        <v>3</v>
      </c>
      <c r="DL285" t="s">
        <v>3</v>
      </c>
      <c r="DM285" t="s">
        <v>3</v>
      </c>
      <c r="DN285">
        <v>0</v>
      </c>
      <c r="DO285">
        <v>0</v>
      </c>
      <c r="DP285">
        <v>1</v>
      </c>
      <c r="DQ285">
        <v>1</v>
      </c>
      <c r="DU285">
        <v>16987630</v>
      </c>
      <c r="DV285" t="s">
        <v>31</v>
      </c>
      <c r="DW285" t="s">
        <v>31</v>
      </c>
      <c r="DX285">
        <v>10</v>
      </c>
      <c r="DZ285" t="s">
        <v>3</v>
      </c>
      <c r="EA285" t="s">
        <v>3</v>
      </c>
      <c r="EB285" t="s">
        <v>3</v>
      </c>
      <c r="EC285" t="s">
        <v>3</v>
      </c>
      <c r="EE285">
        <v>1441815344</v>
      </c>
      <c r="EF285">
        <v>1</v>
      </c>
      <c r="EG285" t="s">
        <v>21</v>
      </c>
      <c r="EH285">
        <v>0</v>
      </c>
      <c r="EI285" t="s">
        <v>3</v>
      </c>
      <c r="EJ285">
        <v>4</v>
      </c>
      <c r="EK285">
        <v>0</v>
      </c>
      <c r="EL285" t="s">
        <v>22</v>
      </c>
      <c r="EM285" t="s">
        <v>23</v>
      </c>
      <c r="EO285" t="s">
        <v>3</v>
      </c>
      <c r="EQ285">
        <v>0</v>
      </c>
      <c r="ER285">
        <v>1259.68</v>
      </c>
      <c r="ES285">
        <v>0</v>
      </c>
      <c r="ET285">
        <v>0</v>
      </c>
      <c r="EU285">
        <v>0</v>
      </c>
      <c r="EV285">
        <v>1259.68</v>
      </c>
      <c r="EW285">
        <v>2.04</v>
      </c>
      <c r="EX285">
        <v>0</v>
      </c>
      <c r="EY285">
        <v>0</v>
      </c>
      <c r="FQ285">
        <v>0</v>
      </c>
      <c r="FR285">
        <f t="shared" si="274"/>
        <v>0</v>
      </c>
      <c r="FS285">
        <v>0</v>
      </c>
      <c r="FX285">
        <v>70</v>
      </c>
      <c r="FY285">
        <v>10</v>
      </c>
      <c r="GA285" t="s">
        <v>3</v>
      </c>
      <c r="GD285">
        <v>0</v>
      </c>
      <c r="GF285">
        <v>-675599503</v>
      </c>
      <c r="GG285">
        <v>2</v>
      </c>
      <c r="GH285">
        <v>1</v>
      </c>
      <c r="GI285">
        <v>-2</v>
      </c>
      <c r="GJ285">
        <v>0</v>
      </c>
      <c r="GK285">
        <f>ROUND(R285*(R12)/100,2)</f>
        <v>0</v>
      </c>
      <c r="GL285">
        <f t="shared" si="275"/>
        <v>0</v>
      </c>
      <c r="GM285">
        <f t="shared" si="276"/>
        <v>6802.27</v>
      </c>
      <c r="GN285">
        <f t="shared" si="277"/>
        <v>0</v>
      </c>
      <c r="GO285">
        <f t="shared" si="278"/>
        <v>0</v>
      </c>
      <c r="GP285">
        <f t="shared" si="279"/>
        <v>6802.27</v>
      </c>
      <c r="GR285">
        <v>0</v>
      </c>
      <c r="GS285">
        <v>3</v>
      </c>
      <c r="GT285">
        <v>0</v>
      </c>
      <c r="GU285" t="s">
        <v>3</v>
      </c>
      <c r="GV285">
        <f t="shared" si="280"/>
        <v>0</v>
      </c>
      <c r="GW285">
        <v>1</v>
      </c>
      <c r="GX285">
        <f t="shared" si="281"/>
        <v>0</v>
      </c>
      <c r="HA285">
        <v>0</v>
      </c>
      <c r="HB285">
        <v>0</v>
      </c>
      <c r="HC285">
        <f t="shared" si="282"/>
        <v>0</v>
      </c>
      <c r="HE285" t="s">
        <v>3</v>
      </c>
      <c r="HF285" t="s">
        <v>3</v>
      </c>
      <c r="HM285" t="s">
        <v>3</v>
      </c>
      <c r="HN285" t="s">
        <v>3</v>
      </c>
      <c r="HO285" t="s">
        <v>3</v>
      </c>
      <c r="HP285" t="s">
        <v>3</v>
      </c>
      <c r="HQ285" t="s">
        <v>3</v>
      </c>
      <c r="IK285">
        <v>0</v>
      </c>
    </row>
    <row r="286" spans="1:245" x14ac:dyDescent="0.2">
      <c r="A286">
        <v>17</v>
      </c>
      <c r="B286">
        <v>1</v>
      </c>
      <c r="D286">
        <f>ROW(EtalonRes!A164)</f>
        <v>164</v>
      </c>
      <c r="E286" t="s">
        <v>303</v>
      </c>
      <c r="F286" t="s">
        <v>39</v>
      </c>
      <c r="G286" t="s">
        <v>304</v>
      </c>
      <c r="H286" t="s">
        <v>36</v>
      </c>
      <c r="I286">
        <f>ROUND(1*15,9)</f>
        <v>15</v>
      </c>
      <c r="J286">
        <v>0</v>
      </c>
      <c r="K286">
        <f>ROUND(1*15,9)</f>
        <v>15</v>
      </c>
      <c r="O286">
        <f t="shared" si="250"/>
        <v>8585.4</v>
      </c>
      <c r="P286">
        <f t="shared" si="251"/>
        <v>0</v>
      </c>
      <c r="Q286">
        <f t="shared" si="252"/>
        <v>2345.4</v>
      </c>
      <c r="R286">
        <f t="shared" si="253"/>
        <v>1487.1</v>
      </c>
      <c r="S286">
        <f t="shared" si="254"/>
        <v>6240</v>
      </c>
      <c r="T286">
        <f t="shared" si="255"/>
        <v>0</v>
      </c>
      <c r="U286">
        <f t="shared" si="256"/>
        <v>11.1</v>
      </c>
      <c r="V286">
        <f t="shared" si="257"/>
        <v>0</v>
      </c>
      <c r="W286">
        <f t="shared" si="258"/>
        <v>0</v>
      </c>
      <c r="X286">
        <f t="shared" si="259"/>
        <v>4368</v>
      </c>
      <c r="Y286">
        <f t="shared" si="260"/>
        <v>624</v>
      </c>
      <c r="AA286">
        <v>1471718271</v>
      </c>
      <c r="AB286">
        <f t="shared" si="261"/>
        <v>572.36</v>
      </c>
      <c r="AC286">
        <f>ROUND(((ES286*2)),6)</f>
        <v>0</v>
      </c>
      <c r="AD286">
        <f>ROUND(((((ET286*2))-((EU286*2)))+AE286),6)</f>
        <v>156.36000000000001</v>
      </c>
      <c r="AE286">
        <f>ROUND(((EU286*2)),6)</f>
        <v>99.14</v>
      </c>
      <c r="AF286">
        <f>ROUND(((EV286*2)),6)</f>
        <v>416</v>
      </c>
      <c r="AG286">
        <f t="shared" si="262"/>
        <v>0</v>
      </c>
      <c r="AH286">
        <f>((EW286*2))</f>
        <v>0.74</v>
      </c>
      <c r="AI286">
        <f>((EX286*2))</f>
        <v>0</v>
      </c>
      <c r="AJ286">
        <f t="shared" si="263"/>
        <v>0</v>
      </c>
      <c r="AK286">
        <v>286.18</v>
      </c>
      <c r="AL286">
        <v>0</v>
      </c>
      <c r="AM286">
        <v>78.180000000000007</v>
      </c>
      <c r="AN286">
        <v>49.57</v>
      </c>
      <c r="AO286">
        <v>208</v>
      </c>
      <c r="AP286">
        <v>0</v>
      </c>
      <c r="AQ286">
        <v>0.37</v>
      </c>
      <c r="AR286">
        <v>0</v>
      </c>
      <c r="AS286">
        <v>0</v>
      </c>
      <c r="AT286">
        <v>70</v>
      </c>
      <c r="AU286">
        <v>10</v>
      </c>
      <c r="AV286">
        <v>1</v>
      </c>
      <c r="AW286">
        <v>1</v>
      </c>
      <c r="AZ286">
        <v>1</v>
      </c>
      <c r="BA286">
        <v>1</v>
      </c>
      <c r="BB286">
        <v>1</v>
      </c>
      <c r="BC286">
        <v>1</v>
      </c>
      <c r="BD286" t="s">
        <v>3</v>
      </c>
      <c r="BE286" t="s">
        <v>3</v>
      </c>
      <c r="BF286" t="s">
        <v>3</v>
      </c>
      <c r="BG286" t="s">
        <v>3</v>
      </c>
      <c r="BH286">
        <v>0</v>
      </c>
      <c r="BI286">
        <v>4</v>
      </c>
      <c r="BJ286" t="s">
        <v>41</v>
      </c>
      <c r="BM286">
        <v>0</v>
      </c>
      <c r="BN286">
        <v>0</v>
      </c>
      <c r="BO286" t="s">
        <v>3</v>
      </c>
      <c r="BP286">
        <v>0</v>
      </c>
      <c r="BQ286">
        <v>1</v>
      </c>
      <c r="BR286">
        <v>0</v>
      </c>
      <c r="BS286">
        <v>1</v>
      </c>
      <c r="BT286">
        <v>1</v>
      </c>
      <c r="BU286">
        <v>1</v>
      </c>
      <c r="BV286">
        <v>1</v>
      </c>
      <c r="BW286">
        <v>1</v>
      </c>
      <c r="BX286">
        <v>1</v>
      </c>
      <c r="BY286" t="s">
        <v>3</v>
      </c>
      <c r="BZ286">
        <v>70</v>
      </c>
      <c r="CA286">
        <v>10</v>
      </c>
      <c r="CB286" t="s">
        <v>3</v>
      </c>
      <c r="CE286">
        <v>0</v>
      </c>
      <c r="CF286">
        <v>0</v>
      </c>
      <c r="CG286">
        <v>0</v>
      </c>
      <c r="CM286">
        <v>0</v>
      </c>
      <c r="CN286" t="s">
        <v>3</v>
      </c>
      <c r="CO286">
        <v>0</v>
      </c>
      <c r="CP286">
        <f t="shared" si="264"/>
        <v>8585.4</v>
      </c>
      <c r="CQ286">
        <f t="shared" si="265"/>
        <v>0</v>
      </c>
      <c r="CR286">
        <f>(((((ET286*2))*BB286-((EU286*2))*BS286)+AE286*BS286)*AV286)</f>
        <v>156.36000000000001</v>
      </c>
      <c r="CS286">
        <f t="shared" si="266"/>
        <v>99.14</v>
      </c>
      <c r="CT286">
        <f t="shared" si="267"/>
        <v>416</v>
      </c>
      <c r="CU286">
        <f t="shared" si="268"/>
        <v>0</v>
      </c>
      <c r="CV286">
        <f t="shared" si="269"/>
        <v>0.74</v>
      </c>
      <c r="CW286">
        <f t="shared" si="270"/>
        <v>0</v>
      </c>
      <c r="CX286">
        <f t="shared" si="271"/>
        <v>0</v>
      </c>
      <c r="CY286">
        <f t="shared" si="272"/>
        <v>4368</v>
      </c>
      <c r="CZ286">
        <f t="shared" si="273"/>
        <v>624</v>
      </c>
      <c r="DC286" t="s">
        <v>3</v>
      </c>
      <c r="DD286" t="s">
        <v>42</v>
      </c>
      <c r="DE286" t="s">
        <v>42</v>
      </c>
      <c r="DF286" t="s">
        <v>42</v>
      </c>
      <c r="DG286" t="s">
        <v>42</v>
      </c>
      <c r="DH286" t="s">
        <v>3</v>
      </c>
      <c r="DI286" t="s">
        <v>42</v>
      </c>
      <c r="DJ286" t="s">
        <v>42</v>
      </c>
      <c r="DK286" t="s">
        <v>3</v>
      </c>
      <c r="DL286" t="s">
        <v>3</v>
      </c>
      <c r="DM286" t="s">
        <v>3</v>
      </c>
      <c r="DN286">
        <v>0</v>
      </c>
      <c r="DO286">
        <v>0</v>
      </c>
      <c r="DP286">
        <v>1</v>
      </c>
      <c r="DQ286">
        <v>1</v>
      </c>
      <c r="DU286">
        <v>16987630</v>
      </c>
      <c r="DV286" t="s">
        <v>36</v>
      </c>
      <c r="DW286" t="s">
        <v>36</v>
      </c>
      <c r="DX286">
        <v>1</v>
      </c>
      <c r="DZ286" t="s">
        <v>3</v>
      </c>
      <c r="EA286" t="s">
        <v>3</v>
      </c>
      <c r="EB286" t="s">
        <v>3</v>
      </c>
      <c r="EC286" t="s">
        <v>3</v>
      </c>
      <c r="EE286">
        <v>1441815344</v>
      </c>
      <c r="EF286">
        <v>1</v>
      </c>
      <c r="EG286" t="s">
        <v>21</v>
      </c>
      <c r="EH286">
        <v>0</v>
      </c>
      <c r="EI286" t="s">
        <v>3</v>
      </c>
      <c r="EJ286">
        <v>4</v>
      </c>
      <c r="EK286">
        <v>0</v>
      </c>
      <c r="EL286" t="s">
        <v>22</v>
      </c>
      <c r="EM286" t="s">
        <v>23</v>
      </c>
      <c r="EO286" t="s">
        <v>3</v>
      </c>
      <c r="EQ286">
        <v>0</v>
      </c>
      <c r="ER286">
        <v>286.18</v>
      </c>
      <c r="ES286">
        <v>0</v>
      </c>
      <c r="ET286">
        <v>78.180000000000007</v>
      </c>
      <c r="EU286">
        <v>49.57</v>
      </c>
      <c r="EV286">
        <v>208</v>
      </c>
      <c r="EW286">
        <v>0.37</v>
      </c>
      <c r="EX286">
        <v>0</v>
      </c>
      <c r="EY286">
        <v>0</v>
      </c>
      <c r="FQ286">
        <v>0</v>
      </c>
      <c r="FR286">
        <f t="shared" si="274"/>
        <v>0</v>
      </c>
      <c r="FS286">
        <v>0</v>
      </c>
      <c r="FX286">
        <v>70</v>
      </c>
      <c r="FY286">
        <v>10</v>
      </c>
      <c r="GA286" t="s">
        <v>3</v>
      </c>
      <c r="GD286">
        <v>0</v>
      </c>
      <c r="GF286">
        <v>-1685196425</v>
      </c>
      <c r="GG286">
        <v>2</v>
      </c>
      <c r="GH286">
        <v>1</v>
      </c>
      <c r="GI286">
        <v>-2</v>
      </c>
      <c r="GJ286">
        <v>0</v>
      </c>
      <c r="GK286">
        <f>ROUND(R286*(R12)/100,2)</f>
        <v>1606.07</v>
      </c>
      <c r="GL286">
        <f t="shared" si="275"/>
        <v>0</v>
      </c>
      <c r="GM286">
        <f t="shared" si="276"/>
        <v>15183.47</v>
      </c>
      <c r="GN286">
        <f t="shared" si="277"/>
        <v>0</v>
      </c>
      <c r="GO286">
        <f t="shared" si="278"/>
        <v>0</v>
      </c>
      <c r="GP286">
        <f t="shared" si="279"/>
        <v>15183.47</v>
      </c>
      <c r="GR286">
        <v>0</v>
      </c>
      <c r="GS286">
        <v>3</v>
      </c>
      <c r="GT286">
        <v>0</v>
      </c>
      <c r="GU286" t="s">
        <v>3</v>
      </c>
      <c r="GV286">
        <f t="shared" si="280"/>
        <v>0</v>
      </c>
      <c r="GW286">
        <v>1</v>
      </c>
      <c r="GX286">
        <f t="shared" si="281"/>
        <v>0</v>
      </c>
      <c r="HA286">
        <v>0</v>
      </c>
      <c r="HB286">
        <v>0</v>
      </c>
      <c r="HC286">
        <f t="shared" si="282"/>
        <v>0</v>
      </c>
      <c r="HE286" t="s">
        <v>3</v>
      </c>
      <c r="HF286" t="s">
        <v>3</v>
      </c>
      <c r="HM286" t="s">
        <v>3</v>
      </c>
      <c r="HN286" t="s">
        <v>3</v>
      </c>
      <c r="HO286" t="s">
        <v>3</v>
      </c>
      <c r="HP286" t="s">
        <v>3</v>
      </c>
      <c r="HQ286" t="s">
        <v>3</v>
      </c>
      <c r="IK286">
        <v>0</v>
      </c>
    </row>
    <row r="287" spans="1:245" x14ac:dyDescent="0.2">
      <c r="A287">
        <v>17</v>
      </c>
      <c r="B287">
        <v>1</v>
      </c>
      <c r="D287">
        <f>ROW(EtalonRes!A165)</f>
        <v>165</v>
      </c>
      <c r="E287" t="s">
        <v>305</v>
      </c>
      <c r="F287" t="s">
        <v>29</v>
      </c>
      <c r="G287" t="s">
        <v>306</v>
      </c>
      <c r="H287" t="s">
        <v>31</v>
      </c>
      <c r="I287">
        <f>ROUND(7*15/10,9)</f>
        <v>10.5</v>
      </c>
      <c r="J287">
        <v>0</v>
      </c>
      <c r="K287">
        <f>ROUND(7*15/10,9)</f>
        <v>10.5</v>
      </c>
      <c r="O287">
        <f t="shared" si="250"/>
        <v>2917.64</v>
      </c>
      <c r="P287">
        <f t="shared" si="251"/>
        <v>0</v>
      </c>
      <c r="Q287">
        <f t="shared" si="252"/>
        <v>0</v>
      </c>
      <c r="R287">
        <f t="shared" si="253"/>
        <v>0</v>
      </c>
      <c r="S287">
        <f t="shared" si="254"/>
        <v>2917.64</v>
      </c>
      <c r="T287">
        <f t="shared" si="255"/>
        <v>0</v>
      </c>
      <c r="U287">
        <f t="shared" si="256"/>
        <v>4.7250000000000005</v>
      </c>
      <c r="V287">
        <f t="shared" si="257"/>
        <v>0</v>
      </c>
      <c r="W287">
        <f t="shared" si="258"/>
        <v>0</v>
      </c>
      <c r="X287">
        <f t="shared" si="259"/>
        <v>2042.35</v>
      </c>
      <c r="Y287">
        <f t="shared" si="260"/>
        <v>291.76</v>
      </c>
      <c r="AA287">
        <v>1471718271</v>
      </c>
      <c r="AB287">
        <f t="shared" si="261"/>
        <v>277.87</v>
      </c>
      <c r="AC287">
        <f>ROUND((ES287),6)</f>
        <v>0</v>
      </c>
      <c r="AD287">
        <f>ROUND((((ET287)-(EU287))+AE287),6)</f>
        <v>0</v>
      </c>
      <c r="AE287">
        <f>ROUND((EU287),6)</f>
        <v>0</v>
      </c>
      <c r="AF287">
        <f>ROUND((EV287),6)</f>
        <v>277.87</v>
      </c>
      <c r="AG287">
        <f t="shared" si="262"/>
        <v>0</v>
      </c>
      <c r="AH287">
        <f>(EW287)</f>
        <v>0.45</v>
      </c>
      <c r="AI287">
        <f>(EX287)</f>
        <v>0</v>
      </c>
      <c r="AJ287">
        <f t="shared" si="263"/>
        <v>0</v>
      </c>
      <c r="AK287">
        <v>277.87</v>
      </c>
      <c r="AL287">
        <v>0</v>
      </c>
      <c r="AM287">
        <v>0</v>
      </c>
      <c r="AN287">
        <v>0</v>
      </c>
      <c r="AO287">
        <v>277.87</v>
      </c>
      <c r="AP287">
        <v>0</v>
      </c>
      <c r="AQ287">
        <v>0.45</v>
      </c>
      <c r="AR287">
        <v>0</v>
      </c>
      <c r="AS287">
        <v>0</v>
      </c>
      <c r="AT287">
        <v>70</v>
      </c>
      <c r="AU287">
        <v>10</v>
      </c>
      <c r="AV287">
        <v>1</v>
      </c>
      <c r="AW287">
        <v>1</v>
      </c>
      <c r="AZ287">
        <v>1</v>
      </c>
      <c r="BA287">
        <v>1</v>
      </c>
      <c r="BB287">
        <v>1</v>
      </c>
      <c r="BC287">
        <v>1</v>
      </c>
      <c r="BD287" t="s">
        <v>3</v>
      </c>
      <c r="BE287" t="s">
        <v>3</v>
      </c>
      <c r="BF287" t="s">
        <v>3</v>
      </c>
      <c r="BG287" t="s">
        <v>3</v>
      </c>
      <c r="BH287">
        <v>0</v>
      </c>
      <c r="BI287">
        <v>4</v>
      </c>
      <c r="BJ287" t="s">
        <v>32</v>
      </c>
      <c r="BM287">
        <v>0</v>
      </c>
      <c r="BN287">
        <v>0</v>
      </c>
      <c r="BO287" t="s">
        <v>3</v>
      </c>
      <c r="BP287">
        <v>0</v>
      </c>
      <c r="BQ287">
        <v>1</v>
      </c>
      <c r="BR287">
        <v>0</v>
      </c>
      <c r="BS287">
        <v>1</v>
      </c>
      <c r="BT287">
        <v>1</v>
      </c>
      <c r="BU287">
        <v>1</v>
      </c>
      <c r="BV287">
        <v>1</v>
      </c>
      <c r="BW287">
        <v>1</v>
      </c>
      <c r="BX287">
        <v>1</v>
      </c>
      <c r="BY287" t="s">
        <v>3</v>
      </c>
      <c r="BZ287">
        <v>70</v>
      </c>
      <c r="CA287">
        <v>10</v>
      </c>
      <c r="CB287" t="s">
        <v>3</v>
      </c>
      <c r="CE287">
        <v>0</v>
      </c>
      <c r="CF287">
        <v>0</v>
      </c>
      <c r="CG287">
        <v>0</v>
      </c>
      <c r="CM287">
        <v>0</v>
      </c>
      <c r="CN287" t="s">
        <v>3</v>
      </c>
      <c r="CO287">
        <v>0</v>
      </c>
      <c r="CP287">
        <f t="shared" si="264"/>
        <v>2917.64</v>
      </c>
      <c r="CQ287">
        <f t="shared" si="265"/>
        <v>0</v>
      </c>
      <c r="CR287">
        <f>((((ET287)*BB287-(EU287)*BS287)+AE287*BS287)*AV287)</f>
        <v>0</v>
      </c>
      <c r="CS287">
        <f t="shared" si="266"/>
        <v>0</v>
      </c>
      <c r="CT287">
        <f t="shared" si="267"/>
        <v>277.87</v>
      </c>
      <c r="CU287">
        <f t="shared" si="268"/>
        <v>0</v>
      </c>
      <c r="CV287">
        <f t="shared" si="269"/>
        <v>0.45</v>
      </c>
      <c r="CW287">
        <f t="shared" si="270"/>
        <v>0</v>
      </c>
      <c r="CX287">
        <f t="shared" si="271"/>
        <v>0</v>
      </c>
      <c r="CY287">
        <f t="shared" si="272"/>
        <v>2042.348</v>
      </c>
      <c r="CZ287">
        <f t="shared" si="273"/>
        <v>291.76399999999995</v>
      </c>
      <c r="DC287" t="s">
        <v>3</v>
      </c>
      <c r="DD287" t="s">
        <v>3</v>
      </c>
      <c r="DE287" t="s">
        <v>3</v>
      </c>
      <c r="DF287" t="s">
        <v>3</v>
      </c>
      <c r="DG287" t="s">
        <v>3</v>
      </c>
      <c r="DH287" t="s">
        <v>3</v>
      </c>
      <c r="DI287" t="s">
        <v>3</v>
      </c>
      <c r="DJ287" t="s">
        <v>3</v>
      </c>
      <c r="DK287" t="s">
        <v>3</v>
      </c>
      <c r="DL287" t="s">
        <v>3</v>
      </c>
      <c r="DM287" t="s">
        <v>3</v>
      </c>
      <c r="DN287">
        <v>0</v>
      </c>
      <c r="DO287">
        <v>0</v>
      </c>
      <c r="DP287">
        <v>1</v>
      </c>
      <c r="DQ287">
        <v>1</v>
      </c>
      <c r="DU287">
        <v>16987630</v>
      </c>
      <c r="DV287" t="s">
        <v>31</v>
      </c>
      <c r="DW287" t="s">
        <v>31</v>
      </c>
      <c r="DX287">
        <v>10</v>
      </c>
      <c r="DZ287" t="s">
        <v>3</v>
      </c>
      <c r="EA287" t="s">
        <v>3</v>
      </c>
      <c r="EB287" t="s">
        <v>3</v>
      </c>
      <c r="EC287" t="s">
        <v>3</v>
      </c>
      <c r="EE287">
        <v>1441815344</v>
      </c>
      <c r="EF287">
        <v>1</v>
      </c>
      <c r="EG287" t="s">
        <v>21</v>
      </c>
      <c r="EH287">
        <v>0</v>
      </c>
      <c r="EI287" t="s">
        <v>3</v>
      </c>
      <c r="EJ287">
        <v>4</v>
      </c>
      <c r="EK287">
        <v>0</v>
      </c>
      <c r="EL287" t="s">
        <v>22</v>
      </c>
      <c r="EM287" t="s">
        <v>23</v>
      </c>
      <c r="EO287" t="s">
        <v>3</v>
      </c>
      <c r="EQ287">
        <v>0</v>
      </c>
      <c r="ER287">
        <v>277.87</v>
      </c>
      <c r="ES287">
        <v>0</v>
      </c>
      <c r="ET287">
        <v>0</v>
      </c>
      <c r="EU287">
        <v>0</v>
      </c>
      <c r="EV287">
        <v>277.87</v>
      </c>
      <c r="EW287">
        <v>0.45</v>
      </c>
      <c r="EX287">
        <v>0</v>
      </c>
      <c r="EY287">
        <v>0</v>
      </c>
      <c r="FQ287">
        <v>0</v>
      </c>
      <c r="FR287">
        <f t="shared" si="274"/>
        <v>0</v>
      </c>
      <c r="FS287">
        <v>0</v>
      </c>
      <c r="FX287">
        <v>70</v>
      </c>
      <c r="FY287">
        <v>10</v>
      </c>
      <c r="GA287" t="s">
        <v>3</v>
      </c>
      <c r="GD287">
        <v>0</v>
      </c>
      <c r="GF287">
        <v>-238643660</v>
      </c>
      <c r="GG287">
        <v>2</v>
      </c>
      <c r="GH287">
        <v>1</v>
      </c>
      <c r="GI287">
        <v>-2</v>
      </c>
      <c r="GJ287">
        <v>0</v>
      </c>
      <c r="GK287">
        <f>ROUND(R287*(R12)/100,2)</f>
        <v>0</v>
      </c>
      <c r="GL287">
        <f t="shared" si="275"/>
        <v>0</v>
      </c>
      <c r="GM287">
        <f t="shared" si="276"/>
        <v>5251.75</v>
      </c>
      <c r="GN287">
        <f t="shared" si="277"/>
        <v>0</v>
      </c>
      <c r="GO287">
        <f t="shared" si="278"/>
        <v>0</v>
      </c>
      <c r="GP287">
        <f t="shared" si="279"/>
        <v>5251.75</v>
      </c>
      <c r="GR287">
        <v>0</v>
      </c>
      <c r="GS287">
        <v>3</v>
      </c>
      <c r="GT287">
        <v>0</v>
      </c>
      <c r="GU287" t="s">
        <v>3</v>
      </c>
      <c r="GV287">
        <f t="shared" si="280"/>
        <v>0</v>
      </c>
      <c r="GW287">
        <v>1</v>
      </c>
      <c r="GX287">
        <f t="shared" si="281"/>
        <v>0</v>
      </c>
      <c r="HA287">
        <v>0</v>
      </c>
      <c r="HB287">
        <v>0</v>
      </c>
      <c r="HC287">
        <f t="shared" si="282"/>
        <v>0</v>
      </c>
      <c r="HE287" t="s">
        <v>3</v>
      </c>
      <c r="HF287" t="s">
        <v>3</v>
      </c>
      <c r="HM287" t="s">
        <v>3</v>
      </c>
      <c r="HN287" t="s">
        <v>3</v>
      </c>
      <c r="HO287" t="s">
        <v>3</v>
      </c>
      <c r="HP287" t="s">
        <v>3</v>
      </c>
      <c r="HQ287" t="s">
        <v>3</v>
      </c>
      <c r="IK287">
        <v>0</v>
      </c>
    </row>
    <row r="288" spans="1:245" x14ac:dyDescent="0.2">
      <c r="A288">
        <v>17</v>
      </c>
      <c r="B288">
        <v>1</v>
      </c>
      <c r="D288">
        <f>ROW(EtalonRes!A168)</f>
        <v>168</v>
      </c>
      <c r="E288" t="s">
        <v>307</v>
      </c>
      <c r="F288" t="s">
        <v>34</v>
      </c>
      <c r="G288" t="s">
        <v>35</v>
      </c>
      <c r="H288" t="s">
        <v>36</v>
      </c>
      <c r="I288">
        <f>ROUND(1*15,9)</f>
        <v>15</v>
      </c>
      <c r="J288">
        <v>0</v>
      </c>
      <c r="K288">
        <f>ROUND(1*15,9)</f>
        <v>15</v>
      </c>
      <c r="O288">
        <f t="shared" si="250"/>
        <v>39837.300000000003</v>
      </c>
      <c r="P288">
        <f t="shared" si="251"/>
        <v>9.4499999999999993</v>
      </c>
      <c r="Q288">
        <f t="shared" si="252"/>
        <v>21167.4</v>
      </c>
      <c r="R288">
        <f t="shared" si="253"/>
        <v>13421.55</v>
      </c>
      <c r="S288">
        <f t="shared" si="254"/>
        <v>18660.45</v>
      </c>
      <c r="T288">
        <f t="shared" si="255"/>
        <v>0</v>
      </c>
      <c r="U288">
        <f t="shared" si="256"/>
        <v>26.25</v>
      </c>
      <c r="V288">
        <f t="shared" si="257"/>
        <v>0</v>
      </c>
      <c r="W288">
        <f t="shared" si="258"/>
        <v>0</v>
      </c>
      <c r="X288">
        <f t="shared" si="259"/>
        <v>13062.32</v>
      </c>
      <c r="Y288">
        <f t="shared" si="260"/>
        <v>1866.05</v>
      </c>
      <c r="AA288">
        <v>1471718271</v>
      </c>
      <c r="AB288">
        <f t="shared" si="261"/>
        <v>2655.82</v>
      </c>
      <c r="AC288">
        <f>ROUND((ES288),6)</f>
        <v>0.63</v>
      </c>
      <c r="AD288">
        <f>ROUND((((ET288)-(EU288))+AE288),6)</f>
        <v>1411.16</v>
      </c>
      <c r="AE288">
        <f>ROUND((EU288),6)</f>
        <v>894.77</v>
      </c>
      <c r="AF288">
        <f>ROUND((EV288),6)</f>
        <v>1244.03</v>
      </c>
      <c r="AG288">
        <f t="shared" si="262"/>
        <v>0</v>
      </c>
      <c r="AH288">
        <f>(EW288)</f>
        <v>1.75</v>
      </c>
      <c r="AI288">
        <f>(EX288)</f>
        <v>0</v>
      </c>
      <c r="AJ288">
        <f t="shared" si="263"/>
        <v>0</v>
      </c>
      <c r="AK288">
        <v>2655.82</v>
      </c>
      <c r="AL288">
        <v>0.63</v>
      </c>
      <c r="AM288">
        <v>1411.16</v>
      </c>
      <c r="AN288">
        <v>894.77</v>
      </c>
      <c r="AO288">
        <v>1244.03</v>
      </c>
      <c r="AP288">
        <v>0</v>
      </c>
      <c r="AQ288">
        <v>1.75</v>
      </c>
      <c r="AR288">
        <v>0</v>
      </c>
      <c r="AS288">
        <v>0</v>
      </c>
      <c r="AT288">
        <v>70</v>
      </c>
      <c r="AU288">
        <v>10</v>
      </c>
      <c r="AV288">
        <v>1</v>
      </c>
      <c r="AW288">
        <v>1</v>
      </c>
      <c r="AZ288">
        <v>1</v>
      </c>
      <c r="BA288">
        <v>1</v>
      </c>
      <c r="BB288">
        <v>1</v>
      </c>
      <c r="BC288">
        <v>1</v>
      </c>
      <c r="BD288" t="s">
        <v>3</v>
      </c>
      <c r="BE288" t="s">
        <v>3</v>
      </c>
      <c r="BF288" t="s">
        <v>3</v>
      </c>
      <c r="BG288" t="s">
        <v>3</v>
      </c>
      <c r="BH288">
        <v>0</v>
      </c>
      <c r="BI288">
        <v>4</v>
      </c>
      <c r="BJ288" t="s">
        <v>37</v>
      </c>
      <c r="BM288">
        <v>0</v>
      </c>
      <c r="BN288">
        <v>0</v>
      </c>
      <c r="BO288" t="s">
        <v>3</v>
      </c>
      <c r="BP288">
        <v>0</v>
      </c>
      <c r="BQ288">
        <v>1</v>
      </c>
      <c r="BR288">
        <v>0</v>
      </c>
      <c r="BS288">
        <v>1</v>
      </c>
      <c r="BT288">
        <v>1</v>
      </c>
      <c r="BU288">
        <v>1</v>
      </c>
      <c r="BV288">
        <v>1</v>
      </c>
      <c r="BW288">
        <v>1</v>
      </c>
      <c r="BX288">
        <v>1</v>
      </c>
      <c r="BY288" t="s">
        <v>3</v>
      </c>
      <c r="BZ288">
        <v>70</v>
      </c>
      <c r="CA288">
        <v>10</v>
      </c>
      <c r="CB288" t="s">
        <v>3</v>
      </c>
      <c r="CE288">
        <v>0</v>
      </c>
      <c r="CF288">
        <v>0</v>
      </c>
      <c r="CG288">
        <v>0</v>
      </c>
      <c r="CM288">
        <v>0</v>
      </c>
      <c r="CN288" t="s">
        <v>3</v>
      </c>
      <c r="CO288">
        <v>0</v>
      </c>
      <c r="CP288">
        <f t="shared" si="264"/>
        <v>39837.300000000003</v>
      </c>
      <c r="CQ288">
        <f t="shared" si="265"/>
        <v>0.63</v>
      </c>
      <c r="CR288">
        <f>((((ET288)*BB288-(EU288)*BS288)+AE288*BS288)*AV288)</f>
        <v>1411.16</v>
      </c>
      <c r="CS288">
        <f t="shared" si="266"/>
        <v>894.77</v>
      </c>
      <c r="CT288">
        <f t="shared" si="267"/>
        <v>1244.03</v>
      </c>
      <c r="CU288">
        <f t="shared" si="268"/>
        <v>0</v>
      </c>
      <c r="CV288">
        <f t="shared" si="269"/>
        <v>1.75</v>
      </c>
      <c r="CW288">
        <f t="shared" si="270"/>
        <v>0</v>
      </c>
      <c r="CX288">
        <f t="shared" si="271"/>
        <v>0</v>
      </c>
      <c r="CY288">
        <f t="shared" si="272"/>
        <v>13062.315000000001</v>
      </c>
      <c r="CZ288">
        <f t="shared" si="273"/>
        <v>1866.0450000000001</v>
      </c>
      <c r="DC288" t="s">
        <v>3</v>
      </c>
      <c r="DD288" t="s">
        <v>3</v>
      </c>
      <c r="DE288" t="s">
        <v>3</v>
      </c>
      <c r="DF288" t="s">
        <v>3</v>
      </c>
      <c r="DG288" t="s">
        <v>3</v>
      </c>
      <c r="DH288" t="s">
        <v>3</v>
      </c>
      <c r="DI288" t="s">
        <v>3</v>
      </c>
      <c r="DJ288" t="s">
        <v>3</v>
      </c>
      <c r="DK288" t="s">
        <v>3</v>
      </c>
      <c r="DL288" t="s">
        <v>3</v>
      </c>
      <c r="DM288" t="s">
        <v>3</v>
      </c>
      <c r="DN288">
        <v>0</v>
      </c>
      <c r="DO288">
        <v>0</v>
      </c>
      <c r="DP288">
        <v>1</v>
      </c>
      <c r="DQ288">
        <v>1</v>
      </c>
      <c r="DU288">
        <v>16987630</v>
      </c>
      <c r="DV288" t="s">
        <v>36</v>
      </c>
      <c r="DW288" t="s">
        <v>36</v>
      </c>
      <c r="DX288">
        <v>1</v>
      </c>
      <c r="DZ288" t="s">
        <v>3</v>
      </c>
      <c r="EA288" t="s">
        <v>3</v>
      </c>
      <c r="EB288" t="s">
        <v>3</v>
      </c>
      <c r="EC288" t="s">
        <v>3</v>
      </c>
      <c r="EE288">
        <v>1441815344</v>
      </c>
      <c r="EF288">
        <v>1</v>
      </c>
      <c r="EG288" t="s">
        <v>21</v>
      </c>
      <c r="EH288">
        <v>0</v>
      </c>
      <c r="EI288" t="s">
        <v>3</v>
      </c>
      <c r="EJ288">
        <v>4</v>
      </c>
      <c r="EK288">
        <v>0</v>
      </c>
      <c r="EL288" t="s">
        <v>22</v>
      </c>
      <c r="EM288" t="s">
        <v>23</v>
      </c>
      <c r="EO288" t="s">
        <v>3</v>
      </c>
      <c r="EQ288">
        <v>0</v>
      </c>
      <c r="ER288">
        <v>2655.82</v>
      </c>
      <c r="ES288">
        <v>0.63</v>
      </c>
      <c r="ET288">
        <v>1411.16</v>
      </c>
      <c r="EU288">
        <v>894.77</v>
      </c>
      <c r="EV288">
        <v>1244.03</v>
      </c>
      <c r="EW288">
        <v>1.75</v>
      </c>
      <c r="EX288">
        <v>0</v>
      </c>
      <c r="EY288">
        <v>0</v>
      </c>
      <c r="FQ288">
        <v>0</v>
      </c>
      <c r="FR288">
        <f t="shared" si="274"/>
        <v>0</v>
      </c>
      <c r="FS288">
        <v>0</v>
      </c>
      <c r="FX288">
        <v>70</v>
      </c>
      <c r="FY288">
        <v>10</v>
      </c>
      <c r="GA288" t="s">
        <v>3</v>
      </c>
      <c r="GD288">
        <v>0</v>
      </c>
      <c r="GF288">
        <v>-1602766855</v>
      </c>
      <c r="GG288">
        <v>2</v>
      </c>
      <c r="GH288">
        <v>1</v>
      </c>
      <c r="GI288">
        <v>-2</v>
      </c>
      <c r="GJ288">
        <v>0</v>
      </c>
      <c r="GK288">
        <f>ROUND(R288*(R12)/100,2)</f>
        <v>14495.27</v>
      </c>
      <c r="GL288">
        <f t="shared" si="275"/>
        <v>0</v>
      </c>
      <c r="GM288">
        <f t="shared" si="276"/>
        <v>69260.94</v>
      </c>
      <c r="GN288">
        <f t="shared" si="277"/>
        <v>0</v>
      </c>
      <c r="GO288">
        <f t="shared" si="278"/>
        <v>0</v>
      </c>
      <c r="GP288">
        <f t="shared" si="279"/>
        <v>69260.94</v>
      </c>
      <c r="GR288">
        <v>0</v>
      </c>
      <c r="GS288">
        <v>3</v>
      </c>
      <c r="GT288">
        <v>0</v>
      </c>
      <c r="GU288" t="s">
        <v>3</v>
      </c>
      <c r="GV288">
        <f t="shared" si="280"/>
        <v>0</v>
      </c>
      <c r="GW288">
        <v>1</v>
      </c>
      <c r="GX288">
        <f t="shared" si="281"/>
        <v>0</v>
      </c>
      <c r="HA288">
        <v>0</v>
      </c>
      <c r="HB288">
        <v>0</v>
      </c>
      <c r="HC288">
        <f t="shared" si="282"/>
        <v>0</v>
      </c>
      <c r="HE288" t="s">
        <v>3</v>
      </c>
      <c r="HF288" t="s">
        <v>3</v>
      </c>
      <c r="HM288" t="s">
        <v>3</v>
      </c>
      <c r="HN288" t="s">
        <v>3</v>
      </c>
      <c r="HO288" t="s">
        <v>3</v>
      </c>
      <c r="HP288" t="s">
        <v>3</v>
      </c>
      <c r="HQ288" t="s">
        <v>3</v>
      </c>
      <c r="IK288">
        <v>0</v>
      </c>
    </row>
    <row r="289" spans="1:245" x14ac:dyDescent="0.2">
      <c r="A289">
        <v>17</v>
      </c>
      <c r="B289">
        <v>1</v>
      </c>
      <c r="D289">
        <f>ROW(EtalonRes!A171)</f>
        <v>171</v>
      </c>
      <c r="E289" t="s">
        <v>3</v>
      </c>
      <c r="F289" t="s">
        <v>308</v>
      </c>
      <c r="G289" t="s">
        <v>309</v>
      </c>
      <c r="H289" t="s">
        <v>53</v>
      </c>
      <c r="I289">
        <f>ROUND(39/100,9)</f>
        <v>0.39</v>
      </c>
      <c r="J289">
        <v>0</v>
      </c>
      <c r="K289">
        <f>ROUND(39/100,9)</f>
        <v>0.39</v>
      </c>
      <c r="O289">
        <f t="shared" si="250"/>
        <v>437939.09</v>
      </c>
      <c r="P289">
        <f t="shared" si="251"/>
        <v>5375.64</v>
      </c>
      <c r="Q289">
        <f t="shared" si="252"/>
        <v>0</v>
      </c>
      <c r="R289">
        <f t="shared" si="253"/>
        <v>0</v>
      </c>
      <c r="S289">
        <f t="shared" si="254"/>
        <v>432563.45</v>
      </c>
      <c r="T289">
        <f t="shared" si="255"/>
        <v>0</v>
      </c>
      <c r="U289">
        <f t="shared" si="256"/>
        <v>1328.145</v>
      </c>
      <c r="V289">
        <f t="shared" si="257"/>
        <v>0</v>
      </c>
      <c r="W289">
        <f t="shared" si="258"/>
        <v>0</v>
      </c>
      <c r="X289">
        <f t="shared" si="259"/>
        <v>302794.42</v>
      </c>
      <c r="Y289">
        <f t="shared" si="260"/>
        <v>43256.35</v>
      </c>
      <c r="AA289">
        <v>-1</v>
      </c>
      <c r="AB289">
        <f t="shared" si="261"/>
        <v>1122920.75</v>
      </c>
      <c r="AC289">
        <f>ROUND(((ES289*245)),6)</f>
        <v>13783.7</v>
      </c>
      <c r="AD289">
        <f>ROUND((((ET289)-(EU289))+AE289),6)</f>
        <v>0</v>
      </c>
      <c r="AE289">
        <f>ROUND((EU289),6)</f>
        <v>0</v>
      </c>
      <c r="AF289">
        <f>ROUND(((EV289*245)),6)</f>
        <v>1109137.05</v>
      </c>
      <c r="AG289">
        <f t="shared" si="262"/>
        <v>0</v>
      </c>
      <c r="AH289">
        <f>((EW289*245))</f>
        <v>3405.5</v>
      </c>
      <c r="AI289">
        <f>(EX289)</f>
        <v>0</v>
      </c>
      <c r="AJ289">
        <f t="shared" si="263"/>
        <v>0</v>
      </c>
      <c r="AK289">
        <v>4583.3500000000004</v>
      </c>
      <c r="AL289">
        <v>56.26</v>
      </c>
      <c r="AM289">
        <v>0</v>
      </c>
      <c r="AN289">
        <v>0</v>
      </c>
      <c r="AO289">
        <v>4527.09</v>
      </c>
      <c r="AP289">
        <v>0</v>
      </c>
      <c r="AQ289">
        <v>13.9</v>
      </c>
      <c r="AR289">
        <v>0</v>
      </c>
      <c r="AS289">
        <v>0</v>
      </c>
      <c r="AT289">
        <v>70</v>
      </c>
      <c r="AU289">
        <v>10</v>
      </c>
      <c r="AV289">
        <v>1</v>
      </c>
      <c r="AW289">
        <v>1</v>
      </c>
      <c r="AZ289">
        <v>1</v>
      </c>
      <c r="BA289">
        <v>1</v>
      </c>
      <c r="BB289">
        <v>1</v>
      </c>
      <c r="BC289">
        <v>1</v>
      </c>
      <c r="BD289" t="s">
        <v>3</v>
      </c>
      <c r="BE289" t="s">
        <v>3</v>
      </c>
      <c r="BF289" t="s">
        <v>3</v>
      </c>
      <c r="BG289" t="s">
        <v>3</v>
      </c>
      <c r="BH289">
        <v>0</v>
      </c>
      <c r="BI289">
        <v>4</v>
      </c>
      <c r="BJ289" t="s">
        <v>310</v>
      </c>
      <c r="BM289">
        <v>0</v>
      </c>
      <c r="BN289">
        <v>0</v>
      </c>
      <c r="BO289" t="s">
        <v>3</v>
      </c>
      <c r="BP289">
        <v>0</v>
      </c>
      <c r="BQ289">
        <v>1</v>
      </c>
      <c r="BR289">
        <v>0</v>
      </c>
      <c r="BS289">
        <v>1</v>
      </c>
      <c r="BT289">
        <v>1</v>
      </c>
      <c r="BU289">
        <v>1</v>
      </c>
      <c r="BV289">
        <v>1</v>
      </c>
      <c r="BW289">
        <v>1</v>
      </c>
      <c r="BX289">
        <v>1</v>
      </c>
      <c r="BY289" t="s">
        <v>3</v>
      </c>
      <c r="BZ289">
        <v>70</v>
      </c>
      <c r="CA289">
        <v>10</v>
      </c>
      <c r="CB289" t="s">
        <v>3</v>
      </c>
      <c r="CE289">
        <v>0</v>
      </c>
      <c r="CF289">
        <v>0</v>
      </c>
      <c r="CG289">
        <v>0</v>
      </c>
      <c r="CM289">
        <v>0</v>
      </c>
      <c r="CN289" t="s">
        <v>3</v>
      </c>
      <c r="CO289">
        <v>0</v>
      </c>
      <c r="CP289">
        <f t="shared" si="264"/>
        <v>437939.09</v>
      </c>
      <c r="CQ289">
        <f t="shared" si="265"/>
        <v>13783.7</v>
      </c>
      <c r="CR289">
        <f>((((ET289)*BB289-(EU289)*BS289)+AE289*BS289)*AV289)</f>
        <v>0</v>
      </c>
      <c r="CS289">
        <f t="shared" si="266"/>
        <v>0</v>
      </c>
      <c r="CT289">
        <f t="shared" si="267"/>
        <v>1109137.05</v>
      </c>
      <c r="CU289">
        <f t="shared" si="268"/>
        <v>0</v>
      </c>
      <c r="CV289">
        <f t="shared" si="269"/>
        <v>3405.5</v>
      </c>
      <c r="CW289">
        <f t="shared" si="270"/>
        <v>0</v>
      </c>
      <c r="CX289">
        <f t="shared" si="271"/>
        <v>0</v>
      </c>
      <c r="CY289">
        <f t="shared" si="272"/>
        <v>302794.41499999998</v>
      </c>
      <c r="CZ289">
        <f t="shared" si="273"/>
        <v>43256.345000000001</v>
      </c>
      <c r="DC289" t="s">
        <v>3</v>
      </c>
      <c r="DD289" t="s">
        <v>311</v>
      </c>
      <c r="DE289" t="s">
        <v>3</v>
      </c>
      <c r="DF289" t="s">
        <v>3</v>
      </c>
      <c r="DG289" t="s">
        <v>311</v>
      </c>
      <c r="DH289" t="s">
        <v>3</v>
      </c>
      <c r="DI289" t="s">
        <v>311</v>
      </c>
      <c r="DJ289" t="s">
        <v>3</v>
      </c>
      <c r="DK289" t="s">
        <v>3</v>
      </c>
      <c r="DL289" t="s">
        <v>3</v>
      </c>
      <c r="DM289" t="s">
        <v>3</v>
      </c>
      <c r="DN289">
        <v>0</v>
      </c>
      <c r="DO289">
        <v>0</v>
      </c>
      <c r="DP289">
        <v>1</v>
      </c>
      <c r="DQ289">
        <v>1</v>
      </c>
      <c r="DU289">
        <v>16987630</v>
      </c>
      <c r="DV289" t="s">
        <v>53</v>
      </c>
      <c r="DW289" t="s">
        <v>53</v>
      </c>
      <c r="DX289">
        <v>100</v>
      </c>
      <c r="DZ289" t="s">
        <v>3</v>
      </c>
      <c r="EA289" t="s">
        <v>3</v>
      </c>
      <c r="EB289" t="s">
        <v>3</v>
      </c>
      <c r="EC289" t="s">
        <v>3</v>
      </c>
      <c r="EE289">
        <v>1441815344</v>
      </c>
      <c r="EF289">
        <v>1</v>
      </c>
      <c r="EG289" t="s">
        <v>21</v>
      </c>
      <c r="EH289">
        <v>0</v>
      </c>
      <c r="EI289" t="s">
        <v>3</v>
      </c>
      <c r="EJ289">
        <v>4</v>
      </c>
      <c r="EK289">
        <v>0</v>
      </c>
      <c r="EL289" t="s">
        <v>22</v>
      </c>
      <c r="EM289" t="s">
        <v>23</v>
      </c>
      <c r="EO289" t="s">
        <v>3</v>
      </c>
      <c r="EQ289">
        <v>1024</v>
      </c>
      <c r="ER289">
        <v>4583.3500000000004</v>
      </c>
      <c r="ES289">
        <v>56.26</v>
      </c>
      <c r="ET289">
        <v>0</v>
      </c>
      <c r="EU289">
        <v>0</v>
      </c>
      <c r="EV289">
        <v>4527.09</v>
      </c>
      <c r="EW289">
        <v>13.9</v>
      </c>
      <c r="EX289">
        <v>0</v>
      </c>
      <c r="EY289">
        <v>0</v>
      </c>
      <c r="FQ289">
        <v>0</v>
      </c>
      <c r="FR289">
        <f t="shared" si="274"/>
        <v>0</v>
      </c>
      <c r="FS289">
        <v>0</v>
      </c>
      <c r="FX289">
        <v>70</v>
      </c>
      <c r="FY289">
        <v>10</v>
      </c>
      <c r="GA289" t="s">
        <v>3</v>
      </c>
      <c r="GD289">
        <v>0</v>
      </c>
      <c r="GF289">
        <v>-414143233</v>
      </c>
      <c r="GG289">
        <v>2</v>
      </c>
      <c r="GH289">
        <v>1</v>
      </c>
      <c r="GI289">
        <v>-2</v>
      </c>
      <c r="GJ289">
        <v>0</v>
      </c>
      <c r="GK289">
        <f>ROUND(R289*(R12)/100,2)</f>
        <v>0</v>
      </c>
      <c r="GL289">
        <f t="shared" si="275"/>
        <v>0</v>
      </c>
      <c r="GM289">
        <f t="shared" si="276"/>
        <v>783989.86</v>
      </c>
      <c r="GN289">
        <f t="shared" si="277"/>
        <v>0</v>
      </c>
      <c r="GO289">
        <f t="shared" si="278"/>
        <v>0</v>
      </c>
      <c r="GP289">
        <f t="shared" si="279"/>
        <v>783989.86</v>
      </c>
      <c r="GR289">
        <v>0</v>
      </c>
      <c r="GS289">
        <v>3</v>
      </c>
      <c r="GT289">
        <v>0</v>
      </c>
      <c r="GU289" t="s">
        <v>3</v>
      </c>
      <c r="GV289">
        <f t="shared" si="280"/>
        <v>0</v>
      </c>
      <c r="GW289">
        <v>1</v>
      </c>
      <c r="GX289">
        <f t="shared" si="281"/>
        <v>0</v>
      </c>
      <c r="HA289">
        <v>0</v>
      </c>
      <c r="HB289">
        <v>0</v>
      </c>
      <c r="HC289">
        <f t="shared" si="282"/>
        <v>0</v>
      </c>
      <c r="HE289" t="s">
        <v>3</v>
      </c>
      <c r="HF289" t="s">
        <v>3</v>
      </c>
      <c r="HM289" t="s">
        <v>3</v>
      </c>
      <c r="HN289" t="s">
        <v>3</v>
      </c>
      <c r="HO289" t="s">
        <v>3</v>
      </c>
      <c r="HP289" t="s">
        <v>3</v>
      </c>
      <c r="HQ289" t="s">
        <v>3</v>
      </c>
      <c r="IK289">
        <v>0</v>
      </c>
    </row>
    <row r="290" spans="1:245" x14ac:dyDescent="0.2">
      <c r="A290">
        <v>17</v>
      </c>
      <c r="B290">
        <v>1</v>
      </c>
      <c r="D290">
        <f>ROW(EtalonRes!A174)</f>
        <v>174</v>
      </c>
      <c r="E290" t="s">
        <v>3</v>
      </c>
      <c r="F290" t="s">
        <v>312</v>
      </c>
      <c r="G290" t="s">
        <v>313</v>
      </c>
      <c r="H290" t="s">
        <v>53</v>
      </c>
      <c r="I290">
        <f>ROUND(39/100,9)</f>
        <v>0.39</v>
      </c>
      <c r="J290">
        <v>0</v>
      </c>
      <c r="K290">
        <f>ROUND(39/100,9)</f>
        <v>0.39</v>
      </c>
      <c r="O290">
        <f t="shared" si="250"/>
        <v>259000.69</v>
      </c>
      <c r="P290">
        <f t="shared" si="251"/>
        <v>5375.64</v>
      </c>
      <c r="Q290">
        <f t="shared" si="252"/>
        <v>0</v>
      </c>
      <c r="R290">
        <f t="shared" si="253"/>
        <v>0</v>
      </c>
      <c r="S290">
        <f t="shared" si="254"/>
        <v>253625.05</v>
      </c>
      <c r="T290">
        <f t="shared" si="255"/>
        <v>0</v>
      </c>
      <c r="U290">
        <f t="shared" si="256"/>
        <v>778.73250000000007</v>
      </c>
      <c r="V290">
        <f t="shared" si="257"/>
        <v>0</v>
      </c>
      <c r="W290">
        <f t="shared" si="258"/>
        <v>0</v>
      </c>
      <c r="X290">
        <f t="shared" si="259"/>
        <v>177537.54</v>
      </c>
      <c r="Y290">
        <f t="shared" si="260"/>
        <v>25362.51</v>
      </c>
      <c r="AA290">
        <v>-1</v>
      </c>
      <c r="AB290">
        <f t="shared" si="261"/>
        <v>664104.35</v>
      </c>
      <c r="AC290">
        <f>ROUND(((ES290*245)),6)</f>
        <v>13783.7</v>
      </c>
      <c r="AD290">
        <f>ROUND((((ET290)-(EU290))+AE290),6)</f>
        <v>0</v>
      </c>
      <c r="AE290">
        <f>ROUND((EU290),6)</f>
        <v>0</v>
      </c>
      <c r="AF290">
        <f>ROUND(((EV290*245)),6)</f>
        <v>650320.65</v>
      </c>
      <c r="AG290">
        <f t="shared" si="262"/>
        <v>0</v>
      </c>
      <c r="AH290">
        <f>((EW290*245))</f>
        <v>1996.75</v>
      </c>
      <c r="AI290">
        <f>(EX290)</f>
        <v>0</v>
      </c>
      <c r="AJ290">
        <f t="shared" si="263"/>
        <v>0</v>
      </c>
      <c r="AK290">
        <v>2710.63</v>
      </c>
      <c r="AL290">
        <v>56.26</v>
      </c>
      <c r="AM290">
        <v>0</v>
      </c>
      <c r="AN290">
        <v>0</v>
      </c>
      <c r="AO290">
        <v>2654.37</v>
      </c>
      <c r="AP290">
        <v>0</v>
      </c>
      <c r="AQ290">
        <v>8.15</v>
      </c>
      <c r="AR290">
        <v>0</v>
      </c>
      <c r="AS290">
        <v>0</v>
      </c>
      <c r="AT290">
        <v>70</v>
      </c>
      <c r="AU290">
        <v>10</v>
      </c>
      <c r="AV290">
        <v>1</v>
      </c>
      <c r="AW290">
        <v>1</v>
      </c>
      <c r="AZ290">
        <v>1</v>
      </c>
      <c r="BA290">
        <v>1</v>
      </c>
      <c r="BB290">
        <v>1</v>
      </c>
      <c r="BC290">
        <v>1</v>
      </c>
      <c r="BD290" t="s">
        <v>3</v>
      </c>
      <c r="BE290" t="s">
        <v>3</v>
      </c>
      <c r="BF290" t="s">
        <v>3</v>
      </c>
      <c r="BG290" t="s">
        <v>3</v>
      </c>
      <c r="BH290">
        <v>0</v>
      </c>
      <c r="BI290">
        <v>4</v>
      </c>
      <c r="BJ290" t="s">
        <v>314</v>
      </c>
      <c r="BM290">
        <v>0</v>
      </c>
      <c r="BN290">
        <v>0</v>
      </c>
      <c r="BO290" t="s">
        <v>3</v>
      </c>
      <c r="BP290">
        <v>0</v>
      </c>
      <c r="BQ290">
        <v>1</v>
      </c>
      <c r="BR290">
        <v>0</v>
      </c>
      <c r="BS290">
        <v>1</v>
      </c>
      <c r="BT290">
        <v>1</v>
      </c>
      <c r="BU290">
        <v>1</v>
      </c>
      <c r="BV290">
        <v>1</v>
      </c>
      <c r="BW290">
        <v>1</v>
      </c>
      <c r="BX290">
        <v>1</v>
      </c>
      <c r="BY290" t="s">
        <v>3</v>
      </c>
      <c r="BZ290">
        <v>70</v>
      </c>
      <c r="CA290">
        <v>10</v>
      </c>
      <c r="CB290" t="s">
        <v>3</v>
      </c>
      <c r="CE290">
        <v>0</v>
      </c>
      <c r="CF290">
        <v>0</v>
      </c>
      <c r="CG290">
        <v>0</v>
      </c>
      <c r="CM290">
        <v>0</v>
      </c>
      <c r="CN290" t="s">
        <v>3</v>
      </c>
      <c r="CO290">
        <v>0</v>
      </c>
      <c r="CP290">
        <f t="shared" si="264"/>
        <v>259000.69</v>
      </c>
      <c r="CQ290">
        <f t="shared" si="265"/>
        <v>13783.7</v>
      </c>
      <c r="CR290">
        <f>((((ET290)*BB290-(EU290)*BS290)+AE290*BS290)*AV290)</f>
        <v>0</v>
      </c>
      <c r="CS290">
        <f t="shared" si="266"/>
        <v>0</v>
      </c>
      <c r="CT290">
        <f t="shared" si="267"/>
        <v>650320.65</v>
      </c>
      <c r="CU290">
        <f t="shared" si="268"/>
        <v>0</v>
      </c>
      <c r="CV290">
        <f t="shared" si="269"/>
        <v>1996.75</v>
      </c>
      <c r="CW290">
        <f t="shared" si="270"/>
        <v>0</v>
      </c>
      <c r="CX290">
        <f t="shared" si="271"/>
        <v>0</v>
      </c>
      <c r="CY290">
        <f t="shared" si="272"/>
        <v>177537.535</v>
      </c>
      <c r="CZ290">
        <f t="shared" si="273"/>
        <v>25362.505000000001</v>
      </c>
      <c r="DC290" t="s">
        <v>3</v>
      </c>
      <c r="DD290" t="s">
        <v>311</v>
      </c>
      <c r="DE290" t="s">
        <v>3</v>
      </c>
      <c r="DF290" t="s">
        <v>3</v>
      </c>
      <c r="DG290" t="s">
        <v>311</v>
      </c>
      <c r="DH290" t="s">
        <v>3</v>
      </c>
      <c r="DI290" t="s">
        <v>311</v>
      </c>
      <c r="DJ290" t="s">
        <v>3</v>
      </c>
      <c r="DK290" t="s">
        <v>3</v>
      </c>
      <c r="DL290" t="s">
        <v>3</v>
      </c>
      <c r="DM290" t="s">
        <v>3</v>
      </c>
      <c r="DN290">
        <v>0</v>
      </c>
      <c r="DO290">
        <v>0</v>
      </c>
      <c r="DP290">
        <v>1</v>
      </c>
      <c r="DQ290">
        <v>1</v>
      </c>
      <c r="DU290">
        <v>16987630</v>
      </c>
      <c r="DV290" t="s">
        <v>53</v>
      </c>
      <c r="DW290" t="s">
        <v>53</v>
      </c>
      <c r="DX290">
        <v>100</v>
      </c>
      <c r="DZ290" t="s">
        <v>3</v>
      </c>
      <c r="EA290" t="s">
        <v>3</v>
      </c>
      <c r="EB290" t="s">
        <v>3</v>
      </c>
      <c r="EC290" t="s">
        <v>3</v>
      </c>
      <c r="EE290">
        <v>1441815344</v>
      </c>
      <c r="EF290">
        <v>1</v>
      </c>
      <c r="EG290" t="s">
        <v>21</v>
      </c>
      <c r="EH290">
        <v>0</v>
      </c>
      <c r="EI290" t="s">
        <v>3</v>
      </c>
      <c r="EJ290">
        <v>4</v>
      </c>
      <c r="EK290">
        <v>0</v>
      </c>
      <c r="EL290" t="s">
        <v>22</v>
      </c>
      <c r="EM290" t="s">
        <v>23</v>
      </c>
      <c r="EO290" t="s">
        <v>3</v>
      </c>
      <c r="EQ290">
        <v>1024</v>
      </c>
      <c r="ER290">
        <v>2710.63</v>
      </c>
      <c r="ES290">
        <v>56.26</v>
      </c>
      <c r="ET290">
        <v>0</v>
      </c>
      <c r="EU290">
        <v>0</v>
      </c>
      <c r="EV290">
        <v>2654.37</v>
      </c>
      <c r="EW290">
        <v>8.15</v>
      </c>
      <c r="EX290">
        <v>0</v>
      </c>
      <c r="EY290">
        <v>0</v>
      </c>
      <c r="FQ290">
        <v>0</v>
      </c>
      <c r="FR290">
        <f t="shared" si="274"/>
        <v>0</v>
      </c>
      <c r="FS290">
        <v>0</v>
      </c>
      <c r="FX290">
        <v>70</v>
      </c>
      <c r="FY290">
        <v>10</v>
      </c>
      <c r="GA290" t="s">
        <v>3</v>
      </c>
      <c r="GD290">
        <v>0</v>
      </c>
      <c r="GF290">
        <v>-729031507</v>
      </c>
      <c r="GG290">
        <v>2</v>
      </c>
      <c r="GH290">
        <v>1</v>
      </c>
      <c r="GI290">
        <v>-2</v>
      </c>
      <c r="GJ290">
        <v>0</v>
      </c>
      <c r="GK290">
        <f>ROUND(R290*(R12)/100,2)</f>
        <v>0</v>
      </c>
      <c r="GL290">
        <f t="shared" si="275"/>
        <v>0</v>
      </c>
      <c r="GM290">
        <f t="shared" si="276"/>
        <v>461900.74</v>
      </c>
      <c r="GN290">
        <f t="shared" si="277"/>
        <v>0</v>
      </c>
      <c r="GO290">
        <f t="shared" si="278"/>
        <v>0</v>
      </c>
      <c r="GP290">
        <f t="shared" si="279"/>
        <v>461900.74</v>
      </c>
      <c r="GR290">
        <v>0</v>
      </c>
      <c r="GS290">
        <v>3</v>
      </c>
      <c r="GT290">
        <v>0</v>
      </c>
      <c r="GU290" t="s">
        <v>3</v>
      </c>
      <c r="GV290">
        <f t="shared" si="280"/>
        <v>0</v>
      </c>
      <c r="GW290">
        <v>1</v>
      </c>
      <c r="GX290">
        <f t="shared" si="281"/>
        <v>0</v>
      </c>
      <c r="HA290">
        <v>0</v>
      </c>
      <c r="HB290">
        <v>0</v>
      </c>
      <c r="HC290">
        <f t="shared" si="282"/>
        <v>0</v>
      </c>
      <c r="HE290" t="s">
        <v>3</v>
      </c>
      <c r="HF290" t="s">
        <v>3</v>
      </c>
      <c r="HM290" t="s">
        <v>3</v>
      </c>
      <c r="HN290" t="s">
        <v>3</v>
      </c>
      <c r="HO290" t="s">
        <v>3</v>
      </c>
      <c r="HP290" t="s">
        <v>3</v>
      </c>
      <c r="HQ290" t="s">
        <v>3</v>
      </c>
      <c r="IK290">
        <v>0</v>
      </c>
    </row>
    <row r="292" spans="1:245" x14ac:dyDescent="0.2">
      <c r="A292" s="2">
        <v>51</v>
      </c>
      <c r="B292" s="2">
        <f>B265</f>
        <v>1</v>
      </c>
      <c r="C292" s="2">
        <f>A265</f>
        <v>5</v>
      </c>
      <c r="D292" s="2">
        <f>ROW(A265)</f>
        <v>265</v>
      </c>
      <c r="E292" s="2"/>
      <c r="F292" s="2" t="str">
        <f>IF(F265&lt;&gt;"",F265,"")</f>
        <v>Новый подраздел</v>
      </c>
      <c r="G292" s="2" t="str">
        <f>IF(G265&lt;&gt;"",G265,"")</f>
        <v>Система внутреннего водоснабжения и водоотведения</v>
      </c>
      <c r="H292" s="2">
        <v>0</v>
      </c>
      <c r="I292" s="2"/>
      <c r="J292" s="2"/>
      <c r="K292" s="2"/>
      <c r="L292" s="2"/>
      <c r="M292" s="2"/>
      <c r="N292" s="2"/>
      <c r="O292" s="2">
        <f t="shared" ref="O292:T292" si="287">ROUND(AB292,2)</f>
        <v>107459.17</v>
      </c>
      <c r="P292" s="2">
        <f t="shared" si="287"/>
        <v>534.69000000000005</v>
      </c>
      <c r="Q292" s="2">
        <f t="shared" si="287"/>
        <v>27049.439999999999</v>
      </c>
      <c r="R292" s="2">
        <f t="shared" si="287"/>
        <v>17139.52</v>
      </c>
      <c r="S292" s="2">
        <f t="shared" si="287"/>
        <v>79875.039999999994</v>
      </c>
      <c r="T292" s="2">
        <f t="shared" si="287"/>
        <v>0</v>
      </c>
      <c r="U292" s="2">
        <f>AH292</f>
        <v>140.92949999999996</v>
      </c>
      <c r="V292" s="2">
        <f>AI292</f>
        <v>0</v>
      </c>
      <c r="W292" s="2">
        <f>ROUND(AJ292,2)</f>
        <v>0</v>
      </c>
      <c r="X292" s="2">
        <f>ROUND(AK292,2)</f>
        <v>55912.53</v>
      </c>
      <c r="Y292" s="2">
        <f>ROUND(AL292,2)</f>
        <v>7987.51</v>
      </c>
      <c r="Z292" s="2"/>
      <c r="AA292" s="2"/>
      <c r="AB292" s="2">
        <f>ROUND(SUMIF(AA269:AA290,"=1471718271",O269:O290),2)</f>
        <v>107459.17</v>
      </c>
      <c r="AC292" s="2">
        <f>ROUND(SUMIF(AA269:AA290,"=1471718271",P269:P290),2)</f>
        <v>534.69000000000005</v>
      </c>
      <c r="AD292" s="2">
        <f>ROUND(SUMIF(AA269:AA290,"=1471718271",Q269:Q290),2)</f>
        <v>27049.439999999999</v>
      </c>
      <c r="AE292" s="2">
        <f>ROUND(SUMIF(AA269:AA290,"=1471718271",R269:R290),2)</f>
        <v>17139.52</v>
      </c>
      <c r="AF292" s="2">
        <f>ROUND(SUMIF(AA269:AA290,"=1471718271",S269:S290),2)</f>
        <v>79875.039999999994</v>
      </c>
      <c r="AG292" s="2">
        <f>ROUND(SUMIF(AA269:AA290,"=1471718271",T269:T290),2)</f>
        <v>0</v>
      </c>
      <c r="AH292" s="2">
        <f>SUMIF(AA269:AA290,"=1471718271",U269:U290)</f>
        <v>140.92949999999996</v>
      </c>
      <c r="AI292" s="2">
        <f>SUMIF(AA269:AA290,"=1471718271",V269:V290)</f>
        <v>0</v>
      </c>
      <c r="AJ292" s="2">
        <f>ROUND(SUMIF(AA269:AA290,"=1471718271",W269:W290),2)</f>
        <v>0</v>
      </c>
      <c r="AK292" s="2">
        <f>ROUND(SUMIF(AA269:AA290,"=1471718271",X269:X290),2)</f>
        <v>55912.53</v>
      </c>
      <c r="AL292" s="2">
        <f>ROUND(SUMIF(AA269:AA290,"=1471718271",Y269:Y290),2)</f>
        <v>7987.51</v>
      </c>
      <c r="AM292" s="2"/>
      <c r="AN292" s="2"/>
      <c r="AO292" s="2">
        <f t="shared" ref="AO292:BD292" si="288">ROUND(BX292,2)</f>
        <v>0</v>
      </c>
      <c r="AP292" s="2">
        <f t="shared" si="288"/>
        <v>0</v>
      </c>
      <c r="AQ292" s="2">
        <f t="shared" si="288"/>
        <v>0</v>
      </c>
      <c r="AR292" s="2">
        <f t="shared" si="288"/>
        <v>189869.88</v>
      </c>
      <c r="AS292" s="2">
        <f t="shared" si="288"/>
        <v>0</v>
      </c>
      <c r="AT292" s="2">
        <f t="shared" si="288"/>
        <v>0</v>
      </c>
      <c r="AU292" s="2">
        <f t="shared" si="288"/>
        <v>189869.88</v>
      </c>
      <c r="AV292" s="2">
        <f t="shared" si="288"/>
        <v>534.69000000000005</v>
      </c>
      <c r="AW292" s="2">
        <f t="shared" si="288"/>
        <v>534.69000000000005</v>
      </c>
      <c r="AX292" s="2">
        <f t="shared" si="288"/>
        <v>0</v>
      </c>
      <c r="AY292" s="2">
        <f t="shared" si="288"/>
        <v>534.69000000000005</v>
      </c>
      <c r="AZ292" s="2">
        <f t="shared" si="288"/>
        <v>0</v>
      </c>
      <c r="BA292" s="2">
        <f t="shared" si="288"/>
        <v>0</v>
      </c>
      <c r="BB292" s="2">
        <f t="shared" si="288"/>
        <v>0</v>
      </c>
      <c r="BC292" s="2">
        <f t="shared" si="288"/>
        <v>0</v>
      </c>
      <c r="BD292" s="2">
        <f t="shared" si="288"/>
        <v>0</v>
      </c>
      <c r="BE292" s="2"/>
      <c r="BF292" s="2"/>
      <c r="BG292" s="2"/>
      <c r="BH292" s="2"/>
      <c r="BI292" s="2"/>
      <c r="BJ292" s="2"/>
      <c r="BK292" s="2"/>
      <c r="BL292" s="2"/>
      <c r="BM292" s="2"/>
      <c r="BN292" s="2"/>
      <c r="BO292" s="2"/>
      <c r="BP292" s="2"/>
      <c r="BQ292" s="2"/>
      <c r="BR292" s="2"/>
      <c r="BS292" s="2"/>
      <c r="BT292" s="2"/>
      <c r="BU292" s="2"/>
      <c r="BV292" s="2"/>
      <c r="BW292" s="2"/>
      <c r="BX292" s="2">
        <f>ROUND(SUMIF(AA269:AA290,"=1471718271",FQ269:FQ290),2)</f>
        <v>0</v>
      </c>
      <c r="BY292" s="2">
        <f>ROUND(SUMIF(AA269:AA290,"=1471718271",FR269:FR290),2)</f>
        <v>0</v>
      </c>
      <c r="BZ292" s="2">
        <f>ROUND(SUMIF(AA269:AA290,"=1471718271",GL269:GL290),2)</f>
        <v>0</v>
      </c>
      <c r="CA292" s="2">
        <f>ROUND(SUMIF(AA269:AA290,"=1471718271",GM269:GM290),2)</f>
        <v>189869.88</v>
      </c>
      <c r="CB292" s="2">
        <f>ROUND(SUMIF(AA269:AA290,"=1471718271",GN269:GN290),2)</f>
        <v>0</v>
      </c>
      <c r="CC292" s="2">
        <f>ROUND(SUMIF(AA269:AA290,"=1471718271",GO269:GO290),2)</f>
        <v>0</v>
      </c>
      <c r="CD292" s="2">
        <f>ROUND(SUMIF(AA269:AA290,"=1471718271",GP269:GP290),2)</f>
        <v>189869.88</v>
      </c>
      <c r="CE292" s="2">
        <f>AC292-BX292</f>
        <v>534.69000000000005</v>
      </c>
      <c r="CF292" s="2">
        <f>AC292-BY292</f>
        <v>534.69000000000005</v>
      </c>
      <c r="CG292" s="2">
        <f>BX292-BZ292</f>
        <v>0</v>
      </c>
      <c r="CH292" s="2">
        <f>AC292-BX292-BY292+BZ292</f>
        <v>534.69000000000005</v>
      </c>
      <c r="CI292" s="2">
        <f>BY292-BZ292</f>
        <v>0</v>
      </c>
      <c r="CJ292" s="2">
        <f>ROUND(SUMIF(AA269:AA290,"=1471718271",GX269:GX290),2)</f>
        <v>0</v>
      </c>
      <c r="CK292" s="2">
        <f>ROUND(SUMIF(AA269:AA290,"=1471718271",GY269:GY290),2)</f>
        <v>0</v>
      </c>
      <c r="CL292" s="2">
        <f>ROUND(SUMIF(AA269:AA290,"=1471718271",GZ269:GZ290),2)</f>
        <v>0</v>
      </c>
      <c r="CM292" s="2">
        <f>ROUND(SUMIF(AA269:AA290,"=1471718271",HD269:HD290),2)</f>
        <v>0</v>
      </c>
      <c r="CN292" s="2"/>
      <c r="CO292" s="2"/>
      <c r="CP292" s="2"/>
      <c r="CQ292" s="2"/>
      <c r="CR292" s="2"/>
      <c r="CS292" s="2"/>
      <c r="CT292" s="2"/>
      <c r="CU292" s="2"/>
      <c r="CV292" s="2"/>
      <c r="CW292" s="2"/>
      <c r="CX292" s="2"/>
      <c r="CY292" s="2"/>
      <c r="CZ292" s="2"/>
      <c r="DA292" s="2"/>
      <c r="DB292" s="2"/>
      <c r="DC292" s="2"/>
      <c r="DD292" s="2"/>
      <c r="DE292" s="2"/>
      <c r="DF292" s="2"/>
      <c r="DG292" s="3"/>
      <c r="DH292" s="3"/>
      <c r="DI292" s="3"/>
      <c r="DJ292" s="3"/>
      <c r="DK292" s="3"/>
      <c r="DL292" s="3"/>
      <c r="DM292" s="3"/>
      <c r="DN292" s="3"/>
      <c r="DO292" s="3"/>
      <c r="DP292" s="3"/>
      <c r="DQ292" s="3"/>
      <c r="DR292" s="3"/>
      <c r="DS292" s="3"/>
      <c r="DT292" s="3"/>
      <c r="DU292" s="3"/>
      <c r="DV292" s="3"/>
      <c r="DW292" s="3"/>
      <c r="DX292" s="3"/>
      <c r="DY292" s="3"/>
      <c r="DZ292" s="3"/>
      <c r="EA292" s="3"/>
      <c r="EB292" s="3"/>
      <c r="EC292" s="3"/>
      <c r="ED292" s="3"/>
      <c r="EE292" s="3"/>
      <c r="EF292" s="3"/>
      <c r="EG292" s="3"/>
      <c r="EH292" s="3"/>
      <c r="EI292" s="3"/>
      <c r="EJ292" s="3"/>
      <c r="EK292" s="3"/>
      <c r="EL292" s="3"/>
      <c r="EM292" s="3"/>
      <c r="EN292" s="3"/>
      <c r="EO292" s="3"/>
      <c r="EP292" s="3"/>
      <c r="EQ292" s="3"/>
      <c r="ER292" s="3"/>
      <c r="ES292" s="3"/>
      <c r="ET292" s="3"/>
      <c r="EU292" s="3"/>
      <c r="EV292" s="3"/>
      <c r="EW292" s="3"/>
      <c r="EX292" s="3"/>
      <c r="EY292" s="3"/>
      <c r="EZ292" s="3"/>
      <c r="FA292" s="3"/>
      <c r="FB292" s="3"/>
      <c r="FC292" s="3"/>
      <c r="FD292" s="3"/>
      <c r="FE292" s="3"/>
      <c r="FF292" s="3"/>
      <c r="FG292" s="3"/>
      <c r="FH292" s="3"/>
      <c r="FI292" s="3"/>
      <c r="FJ292" s="3"/>
      <c r="FK292" s="3"/>
      <c r="FL292" s="3"/>
      <c r="FM292" s="3"/>
      <c r="FN292" s="3"/>
      <c r="FO292" s="3"/>
      <c r="FP292" s="3"/>
      <c r="FQ292" s="3"/>
      <c r="FR292" s="3"/>
      <c r="FS292" s="3"/>
      <c r="FT292" s="3"/>
      <c r="FU292" s="3"/>
      <c r="FV292" s="3"/>
      <c r="FW292" s="3"/>
      <c r="FX292" s="3"/>
      <c r="FY292" s="3"/>
      <c r="FZ292" s="3"/>
      <c r="GA292" s="3"/>
      <c r="GB292" s="3"/>
      <c r="GC292" s="3"/>
      <c r="GD292" s="3"/>
      <c r="GE292" s="3"/>
      <c r="GF292" s="3"/>
      <c r="GG292" s="3"/>
      <c r="GH292" s="3"/>
      <c r="GI292" s="3"/>
      <c r="GJ292" s="3"/>
      <c r="GK292" s="3"/>
      <c r="GL292" s="3"/>
      <c r="GM292" s="3"/>
      <c r="GN292" s="3"/>
      <c r="GO292" s="3"/>
      <c r="GP292" s="3"/>
      <c r="GQ292" s="3"/>
      <c r="GR292" s="3"/>
      <c r="GS292" s="3"/>
      <c r="GT292" s="3"/>
      <c r="GU292" s="3"/>
      <c r="GV292" s="3"/>
      <c r="GW292" s="3"/>
      <c r="GX292" s="3">
        <v>0</v>
      </c>
    </row>
    <row r="294" spans="1:245" x14ac:dyDescent="0.2">
      <c r="A294" s="4">
        <v>50</v>
      </c>
      <c r="B294" s="4">
        <v>0</v>
      </c>
      <c r="C294" s="4">
        <v>0</v>
      </c>
      <c r="D294" s="4">
        <v>1</v>
      </c>
      <c r="E294" s="4">
        <v>201</v>
      </c>
      <c r="F294" s="4">
        <f>ROUND(Source!O292,O294)</f>
        <v>107459.17</v>
      </c>
      <c r="G294" s="4" t="s">
        <v>98</v>
      </c>
      <c r="H294" s="4" t="s">
        <v>99</v>
      </c>
      <c r="I294" s="4"/>
      <c r="J294" s="4"/>
      <c r="K294" s="4">
        <v>201</v>
      </c>
      <c r="L294" s="4">
        <v>1</v>
      </c>
      <c r="M294" s="4">
        <v>3</v>
      </c>
      <c r="N294" s="4" t="s">
        <v>3</v>
      </c>
      <c r="O294" s="4">
        <v>2</v>
      </c>
      <c r="P294" s="4"/>
      <c r="Q294" s="4"/>
      <c r="R294" s="4"/>
      <c r="S294" s="4"/>
      <c r="T294" s="4"/>
      <c r="U294" s="4"/>
      <c r="V294" s="4"/>
      <c r="W294" s="4">
        <v>72372.08</v>
      </c>
      <c r="X294" s="4">
        <v>1</v>
      </c>
      <c r="Y294" s="4">
        <v>72372.08</v>
      </c>
      <c r="Z294" s="4"/>
      <c r="AA294" s="4"/>
      <c r="AB294" s="4"/>
    </row>
    <row r="295" spans="1:245" x14ac:dyDescent="0.2">
      <c r="A295" s="4">
        <v>50</v>
      </c>
      <c r="B295" s="4">
        <v>0</v>
      </c>
      <c r="C295" s="4">
        <v>0</v>
      </c>
      <c r="D295" s="4">
        <v>1</v>
      </c>
      <c r="E295" s="4">
        <v>202</v>
      </c>
      <c r="F295" s="4">
        <f>ROUND(Source!P292,O295)</f>
        <v>534.69000000000005</v>
      </c>
      <c r="G295" s="4" t="s">
        <v>100</v>
      </c>
      <c r="H295" s="4" t="s">
        <v>101</v>
      </c>
      <c r="I295" s="4"/>
      <c r="J295" s="4"/>
      <c r="K295" s="4">
        <v>202</v>
      </c>
      <c r="L295" s="4">
        <v>2</v>
      </c>
      <c r="M295" s="4">
        <v>3</v>
      </c>
      <c r="N295" s="4" t="s">
        <v>3</v>
      </c>
      <c r="O295" s="4">
        <v>2</v>
      </c>
      <c r="P295" s="4"/>
      <c r="Q295" s="4"/>
      <c r="R295" s="4"/>
      <c r="S295" s="4"/>
      <c r="T295" s="4"/>
      <c r="U295" s="4"/>
      <c r="V295" s="4"/>
      <c r="W295" s="4">
        <v>155.59</v>
      </c>
      <c r="X295" s="4">
        <v>1</v>
      </c>
      <c r="Y295" s="4">
        <v>155.59</v>
      </c>
      <c r="Z295" s="4"/>
      <c r="AA295" s="4"/>
      <c r="AB295" s="4"/>
    </row>
    <row r="296" spans="1:245" x14ac:dyDescent="0.2">
      <c r="A296" s="4">
        <v>50</v>
      </c>
      <c r="B296" s="4">
        <v>0</v>
      </c>
      <c r="C296" s="4">
        <v>0</v>
      </c>
      <c r="D296" s="4">
        <v>1</v>
      </c>
      <c r="E296" s="4">
        <v>222</v>
      </c>
      <c r="F296" s="4">
        <f>ROUND(Source!AO292,O296)</f>
        <v>0</v>
      </c>
      <c r="G296" s="4" t="s">
        <v>102</v>
      </c>
      <c r="H296" s="4" t="s">
        <v>103</v>
      </c>
      <c r="I296" s="4"/>
      <c r="J296" s="4"/>
      <c r="K296" s="4">
        <v>222</v>
      </c>
      <c r="L296" s="4">
        <v>3</v>
      </c>
      <c r="M296" s="4">
        <v>3</v>
      </c>
      <c r="N296" s="4" t="s">
        <v>3</v>
      </c>
      <c r="O296" s="4">
        <v>2</v>
      </c>
      <c r="P296" s="4"/>
      <c r="Q296" s="4"/>
      <c r="R296" s="4"/>
      <c r="S296" s="4"/>
      <c r="T296" s="4"/>
      <c r="U296" s="4"/>
      <c r="V296" s="4"/>
      <c r="W296" s="4">
        <v>0</v>
      </c>
      <c r="X296" s="4">
        <v>1</v>
      </c>
      <c r="Y296" s="4">
        <v>0</v>
      </c>
      <c r="Z296" s="4"/>
      <c r="AA296" s="4"/>
      <c r="AB296" s="4"/>
    </row>
    <row r="297" spans="1:245" x14ac:dyDescent="0.2">
      <c r="A297" s="4">
        <v>50</v>
      </c>
      <c r="B297" s="4">
        <v>0</v>
      </c>
      <c r="C297" s="4">
        <v>0</v>
      </c>
      <c r="D297" s="4">
        <v>1</v>
      </c>
      <c r="E297" s="4">
        <v>225</v>
      </c>
      <c r="F297" s="4">
        <f>ROUND(Source!AV292,O297)</f>
        <v>534.69000000000005</v>
      </c>
      <c r="G297" s="4" t="s">
        <v>104</v>
      </c>
      <c r="H297" s="4" t="s">
        <v>105</v>
      </c>
      <c r="I297" s="4"/>
      <c r="J297" s="4"/>
      <c r="K297" s="4">
        <v>225</v>
      </c>
      <c r="L297" s="4">
        <v>4</v>
      </c>
      <c r="M297" s="4">
        <v>3</v>
      </c>
      <c r="N297" s="4" t="s">
        <v>3</v>
      </c>
      <c r="O297" s="4">
        <v>2</v>
      </c>
      <c r="P297" s="4"/>
      <c r="Q297" s="4"/>
      <c r="R297" s="4"/>
      <c r="S297" s="4"/>
      <c r="T297" s="4"/>
      <c r="U297" s="4"/>
      <c r="V297" s="4"/>
      <c r="W297" s="4">
        <v>155.59</v>
      </c>
      <c r="X297" s="4">
        <v>1</v>
      </c>
      <c r="Y297" s="4">
        <v>155.59</v>
      </c>
      <c r="Z297" s="4"/>
      <c r="AA297" s="4"/>
      <c r="AB297" s="4"/>
    </row>
    <row r="298" spans="1:245" x14ac:dyDescent="0.2">
      <c r="A298" s="4">
        <v>50</v>
      </c>
      <c r="B298" s="4">
        <v>0</v>
      </c>
      <c r="C298" s="4">
        <v>0</v>
      </c>
      <c r="D298" s="4">
        <v>1</v>
      </c>
      <c r="E298" s="4">
        <v>226</v>
      </c>
      <c r="F298" s="4">
        <f>ROUND(Source!AW292,O298)</f>
        <v>534.69000000000005</v>
      </c>
      <c r="G298" s="4" t="s">
        <v>106</v>
      </c>
      <c r="H298" s="4" t="s">
        <v>107</v>
      </c>
      <c r="I298" s="4"/>
      <c r="J298" s="4"/>
      <c r="K298" s="4">
        <v>226</v>
      </c>
      <c r="L298" s="4">
        <v>5</v>
      </c>
      <c r="M298" s="4">
        <v>3</v>
      </c>
      <c r="N298" s="4" t="s">
        <v>3</v>
      </c>
      <c r="O298" s="4">
        <v>2</v>
      </c>
      <c r="P298" s="4"/>
      <c r="Q298" s="4"/>
      <c r="R298" s="4"/>
      <c r="S298" s="4"/>
      <c r="T298" s="4"/>
      <c r="U298" s="4"/>
      <c r="V298" s="4"/>
      <c r="W298" s="4">
        <v>155.59</v>
      </c>
      <c r="X298" s="4">
        <v>1</v>
      </c>
      <c r="Y298" s="4">
        <v>155.59</v>
      </c>
      <c r="Z298" s="4"/>
      <c r="AA298" s="4"/>
      <c r="AB298" s="4"/>
    </row>
    <row r="299" spans="1:245" x14ac:dyDescent="0.2">
      <c r="A299" s="4">
        <v>50</v>
      </c>
      <c r="B299" s="4">
        <v>0</v>
      </c>
      <c r="C299" s="4">
        <v>0</v>
      </c>
      <c r="D299" s="4">
        <v>1</v>
      </c>
      <c r="E299" s="4">
        <v>227</v>
      </c>
      <c r="F299" s="4">
        <f>ROUND(Source!AX292,O299)</f>
        <v>0</v>
      </c>
      <c r="G299" s="4" t="s">
        <v>108</v>
      </c>
      <c r="H299" s="4" t="s">
        <v>109</v>
      </c>
      <c r="I299" s="4"/>
      <c r="J299" s="4"/>
      <c r="K299" s="4">
        <v>227</v>
      </c>
      <c r="L299" s="4">
        <v>6</v>
      </c>
      <c r="M299" s="4">
        <v>3</v>
      </c>
      <c r="N299" s="4" t="s">
        <v>3</v>
      </c>
      <c r="O299" s="4">
        <v>2</v>
      </c>
      <c r="P299" s="4"/>
      <c r="Q299" s="4"/>
      <c r="R299" s="4"/>
      <c r="S299" s="4"/>
      <c r="T299" s="4"/>
      <c r="U299" s="4"/>
      <c r="V299" s="4"/>
      <c r="W299" s="4">
        <v>0</v>
      </c>
      <c r="X299" s="4">
        <v>1</v>
      </c>
      <c r="Y299" s="4">
        <v>0</v>
      </c>
      <c r="Z299" s="4"/>
      <c r="AA299" s="4"/>
      <c r="AB299" s="4"/>
    </row>
    <row r="300" spans="1:245" x14ac:dyDescent="0.2">
      <c r="A300" s="4">
        <v>50</v>
      </c>
      <c r="B300" s="4">
        <v>0</v>
      </c>
      <c r="C300" s="4">
        <v>0</v>
      </c>
      <c r="D300" s="4">
        <v>1</v>
      </c>
      <c r="E300" s="4">
        <v>228</v>
      </c>
      <c r="F300" s="4">
        <f>ROUND(Source!AY292,O300)</f>
        <v>534.69000000000005</v>
      </c>
      <c r="G300" s="4" t="s">
        <v>110</v>
      </c>
      <c r="H300" s="4" t="s">
        <v>111</v>
      </c>
      <c r="I300" s="4"/>
      <c r="J300" s="4"/>
      <c r="K300" s="4">
        <v>228</v>
      </c>
      <c r="L300" s="4">
        <v>7</v>
      </c>
      <c r="M300" s="4">
        <v>3</v>
      </c>
      <c r="N300" s="4" t="s">
        <v>3</v>
      </c>
      <c r="O300" s="4">
        <v>2</v>
      </c>
      <c r="P300" s="4"/>
      <c r="Q300" s="4"/>
      <c r="R300" s="4"/>
      <c r="S300" s="4"/>
      <c r="T300" s="4"/>
      <c r="U300" s="4"/>
      <c r="V300" s="4"/>
      <c r="W300" s="4">
        <v>155.59</v>
      </c>
      <c r="X300" s="4">
        <v>1</v>
      </c>
      <c r="Y300" s="4">
        <v>155.59</v>
      </c>
      <c r="Z300" s="4"/>
      <c r="AA300" s="4"/>
      <c r="AB300" s="4"/>
    </row>
    <row r="301" spans="1:245" x14ac:dyDescent="0.2">
      <c r="A301" s="4">
        <v>50</v>
      </c>
      <c r="B301" s="4">
        <v>0</v>
      </c>
      <c r="C301" s="4">
        <v>0</v>
      </c>
      <c r="D301" s="4">
        <v>1</v>
      </c>
      <c r="E301" s="4">
        <v>216</v>
      </c>
      <c r="F301" s="4">
        <f>ROUND(Source!AP292,O301)</f>
        <v>0</v>
      </c>
      <c r="G301" s="4" t="s">
        <v>112</v>
      </c>
      <c r="H301" s="4" t="s">
        <v>113</v>
      </c>
      <c r="I301" s="4"/>
      <c r="J301" s="4"/>
      <c r="K301" s="4">
        <v>216</v>
      </c>
      <c r="L301" s="4">
        <v>8</v>
      </c>
      <c r="M301" s="4">
        <v>3</v>
      </c>
      <c r="N301" s="4" t="s">
        <v>3</v>
      </c>
      <c r="O301" s="4">
        <v>2</v>
      </c>
      <c r="P301" s="4"/>
      <c r="Q301" s="4"/>
      <c r="R301" s="4"/>
      <c r="S301" s="4"/>
      <c r="T301" s="4"/>
      <c r="U301" s="4"/>
      <c r="V301" s="4"/>
      <c r="W301" s="4">
        <v>0</v>
      </c>
      <c r="X301" s="4">
        <v>1</v>
      </c>
      <c r="Y301" s="4">
        <v>0</v>
      </c>
      <c r="Z301" s="4"/>
      <c r="AA301" s="4"/>
      <c r="AB301" s="4"/>
    </row>
    <row r="302" spans="1:245" x14ac:dyDescent="0.2">
      <c r="A302" s="4">
        <v>50</v>
      </c>
      <c r="B302" s="4">
        <v>0</v>
      </c>
      <c r="C302" s="4">
        <v>0</v>
      </c>
      <c r="D302" s="4">
        <v>1</v>
      </c>
      <c r="E302" s="4">
        <v>223</v>
      </c>
      <c r="F302" s="4">
        <f>ROUND(Source!AQ292,O302)</f>
        <v>0</v>
      </c>
      <c r="G302" s="4" t="s">
        <v>114</v>
      </c>
      <c r="H302" s="4" t="s">
        <v>115</v>
      </c>
      <c r="I302" s="4"/>
      <c r="J302" s="4"/>
      <c r="K302" s="4">
        <v>223</v>
      </c>
      <c r="L302" s="4">
        <v>9</v>
      </c>
      <c r="M302" s="4">
        <v>3</v>
      </c>
      <c r="N302" s="4" t="s">
        <v>3</v>
      </c>
      <c r="O302" s="4">
        <v>2</v>
      </c>
      <c r="P302" s="4"/>
      <c r="Q302" s="4"/>
      <c r="R302" s="4"/>
      <c r="S302" s="4"/>
      <c r="T302" s="4"/>
      <c r="U302" s="4"/>
      <c r="V302" s="4"/>
      <c r="W302" s="4">
        <v>0</v>
      </c>
      <c r="X302" s="4">
        <v>1</v>
      </c>
      <c r="Y302" s="4">
        <v>0</v>
      </c>
      <c r="Z302" s="4"/>
      <c r="AA302" s="4"/>
      <c r="AB302" s="4"/>
    </row>
    <row r="303" spans="1:245" x14ac:dyDescent="0.2">
      <c r="A303" s="4">
        <v>50</v>
      </c>
      <c r="B303" s="4">
        <v>0</v>
      </c>
      <c r="C303" s="4">
        <v>0</v>
      </c>
      <c r="D303" s="4">
        <v>1</v>
      </c>
      <c r="E303" s="4">
        <v>229</v>
      </c>
      <c r="F303" s="4">
        <f>ROUND(Source!AZ292,O303)</f>
        <v>0</v>
      </c>
      <c r="G303" s="4" t="s">
        <v>116</v>
      </c>
      <c r="H303" s="4" t="s">
        <v>117</v>
      </c>
      <c r="I303" s="4"/>
      <c r="J303" s="4"/>
      <c r="K303" s="4">
        <v>229</v>
      </c>
      <c r="L303" s="4">
        <v>10</v>
      </c>
      <c r="M303" s="4">
        <v>3</v>
      </c>
      <c r="N303" s="4" t="s">
        <v>3</v>
      </c>
      <c r="O303" s="4">
        <v>2</v>
      </c>
      <c r="P303" s="4"/>
      <c r="Q303" s="4"/>
      <c r="R303" s="4"/>
      <c r="S303" s="4"/>
      <c r="T303" s="4"/>
      <c r="U303" s="4"/>
      <c r="V303" s="4"/>
      <c r="W303" s="4">
        <v>0</v>
      </c>
      <c r="X303" s="4">
        <v>1</v>
      </c>
      <c r="Y303" s="4">
        <v>0</v>
      </c>
      <c r="Z303" s="4"/>
      <c r="AA303" s="4"/>
      <c r="AB303" s="4"/>
    </row>
    <row r="304" spans="1:245" x14ac:dyDescent="0.2">
      <c r="A304" s="4">
        <v>50</v>
      </c>
      <c r="B304" s="4">
        <v>0</v>
      </c>
      <c r="C304" s="4">
        <v>0</v>
      </c>
      <c r="D304" s="4">
        <v>1</v>
      </c>
      <c r="E304" s="4">
        <v>203</v>
      </c>
      <c r="F304" s="4">
        <f>ROUND(Source!Q292,O304)</f>
        <v>27049.439999999999</v>
      </c>
      <c r="G304" s="4" t="s">
        <v>118</v>
      </c>
      <c r="H304" s="4" t="s">
        <v>119</v>
      </c>
      <c r="I304" s="4"/>
      <c r="J304" s="4"/>
      <c r="K304" s="4">
        <v>203</v>
      </c>
      <c r="L304" s="4">
        <v>11</v>
      </c>
      <c r="M304" s="4">
        <v>3</v>
      </c>
      <c r="N304" s="4" t="s">
        <v>3</v>
      </c>
      <c r="O304" s="4">
        <v>2</v>
      </c>
      <c r="P304" s="4"/>
      <c r="Q304" s="4"/>
      <c r="R304" s="4"/>
      <c r="S304" s="4"/>
      <c r="T304" s="4"/>
      <c r="U304" s="4"/>
      <c r="V304" s="4"/>
      <c r="W304" s="4">
        <v>25858.2</v>
      </c>
      <c r="X304" s="4">
        <v>1</v>
      </c>
      <c r="Y304" s="4">
        <v>25858.2</v>
      </c>
      <c r="Z304" s="4"/>
      <c r="AA304" s="4"/>
      <c r="AB304" s="4"/>
    </row>
    <row r="305" spans="1:28" x14ac:dyDescent="0.2">
      <c r="A305" s="4">
        <v>50</v>
      </c>
      <c r="B305" s="4">
        <v>0</v>
      </c>
      <c r="C305" s="4">
        <v>0</v>
      </c>
      <c r="D305" s="4">
        <v>1</v>
      </c>
      <c r="E305" s="4">
        <v>231</v>
      </c>
      <c r="F305" s="4">
        <f>ROUND(Source!BB292,O305)</f>
        <v>0</v>
      </c>
      <c r="G305" s="4" t="s">
        <v>120</v>
      </c>
      <c r="H305" s="4" t="s">
        <v>121</v>
      </c>
      <c r="I305" s="4"/>
      <c r="J305" s="4"/>
      <c r="K305" s="4">
        <v>231</v>
      </c>
      <c r="L305" s="4">
        <v>12</v>
      </c>
      <c r="M305" s="4">
        <v>3</v>
      </c>
      <c r="N305" s="4" t="s">
        <v>3</v>
      </c>
      <c r="O305" s="4">
        <v>2</v>
      </c>
      <c r="P305" s="4"/>
      <c r="Q305" s="4"/>
      <c r="R305" s="4"/>
      <c r="S305" s="4"/>
      <c r="T305" s="4"/>
      <c r="U305" s="4"/>
      <c r="V305" s="4"/>
      <c r="W305" s="4">
        <v>0</v>
      </c>
      <c r="X305" s="4">
        <v>1</v>
      </c>
      <c r="Y305" s="4">
        <v>0</v>
      </c>
      <c r="Z305" s="4"/>
      <c r="AA305" s="4"/>
      <c r="AB305" s="4"/>
    </row>
    <row r="306" spans="1:28" x14ac:dyDescent="0.2">
      <c r="A306" s="4">
        <v>50</v>
      </c>
      <c r="B306" s="4">
        <v>0</v>
      </c>
      <c r="C306" s="4">
        <v>0</v>
      </c>
      <c r="D306" s="4">
        <v>1</v>
      </c>
      <c r="E306" s="4">
        <v>204</v>
      </c>
      <c r="F306" s="4">
        <f>ROUND(Source!R292,O306)</f>
        <v>17139.52</v>
      </c>
      <c r="G306" s="4" t="s">
        <v>122</v>
      </c>
      <c r="H306" s="4" t="s">
        <v>123</v>
      </c>
      <c r="I306" s="4"/>
      <c r="J306" s="4"/>
      <c r="K306" s="4">
        <v>204</v>
      </c>
      <c r="L306" s="4">
        <v>13</v>
      </c>
      <c r="M306" s="4">
        <v>3</v>
      </c>
      <c r="N306" s="4" t="s">
        <v>3</v>
      </c>
      <c r="O306" s="4">
        <v>2</v>
      </c>
      <c r="P306" s="4"/>
      <c r="Q306" s="4"/>
      <c r="R306" s="4"/>
      <c r="S306" s="4"/>
      <c r="T306" s="4"/>
      <c r="U306" s="4"/>
      <c r="V306" s="4"/>
      <c r="W306" s="4">
        <v>16395.75</v>
      </c>
      <c r="X306" s="4">
        <v>1</v>
      </c>
      <c r="Y306" s="4">
        <v>16395.75</v>
      </c>
      <c r="Z306" s="4"/>
      <c r="AA306" s="4"/>
      <c r="AB306" s="4"/>
    </row>
    <row r="307" spans="1:28" x14ac:dyDescent="0.2">
      <c r="A307" s="4">
        <v>50</v>
      </c>
      <c r="B307" s="4">
        <v>0</v>
      </c>
      <c r="C307" s="4">
        <v>0</v>
      </c>
      <c r="D307" s="4">
        <v>1</v>
      </c>
      <c r="E307" s="4">
        <v>205</v>
      </c>
      <c r="F307" s="4">
        <f>ROUND(Source!S292,O307)</f>
        <v>79875.039999999994</v>
      </c>
      <c r="G307" s="4" t="s">
        <v>124</v>
      </c>
      <c r="H307" s="4" t="s">
        <v>125</v>
      </c>
      <c r="I307" s="4"/>
      <c r="J307" s="4"/>
      <c r="K307" s="4">
        <v>205</v>
      </c>
      <c r="L307" s="4">
        <v>14</v>
      </c>
      <c r="M307" s="4">
        <v>3</v>
      </c>
      <c r="N307" s="4" t="s">
        <v>3</v>
      </c>
      <c r="O307" s="4">
        <v>2</v>
      </c>
      <c r="P307" s="4"/>
      <c r="Q307" s="4"/>
      <c r="R307" s="4"/>
      <c r="S307" s="4"/>
      <c r="T307" s="4"/>
      <c r="U307" s="4"/>
      <c r="V307" s="4"/>
      <c r="W307" s="4">
        <v>46358.29</v>
      </c>
      <c r="X307" s="4">
        <v>1</v>
      </c>
      <c r="Y307" s="4">
        <v>46358.29</v>
      </c>
      <c r="Z307" s="4"/>
      <c r="AA307" s="4"/>
      <c r="AB307" s="4"/>
    </row>
    <row r="308" spans="1:28" x14ac:dyDescent="0.2">
      <c r="A308" s="4">
        <v>50</v>
      </c>
      <c r="B308" s="4">
        <v>0</v>
      </c>
      <c r="C308" s="4">
        <v>0</v>
      </c>
      <c r="D308" s="4">
        <v>1</v>
      </c>
      <c r="E308" s="4">
        <v>232</v>
      </c>
      <c r="F308" s="4">
        <f>ROUND(Source!BC292,O308)</f>
        <v>0</v>
      </c>
      <c r="G308" s="4" t="s">
        <v>126</v>
      </c>
      <c r="H308" s="4" t="s">
        <v>127</v>
      </c>
      <c r="I308" s="4"/>
      <c r="J308" s="4"/>
      <c r="K308" s="4">
        <v>232</v>
      </c>
      <c r="L308" s="4">
        <v>15</v>
      </c>
      <c r="M308" s="4">
        <v>3</v>
      </c>
      <c r="N308" s="4" t="s">
        <v>3</v>
      </c>
      <c r="O308" s="4">
        <v>2</v>
      </c>
      <c r="P308" s="4"/>
      <c r="Q308" s="4"/>
      <c r="R308" s="4"/>
      <c r="S308" s="4"/>
      <c r="T308" s="4"/>
      <c r="U308" s="4"/>
      <c r="V308" s="4"/>
      <c r="W308" s="4">
        <v>0</v>
      </c>
      <c r="X308" s="4">
        <v>1</v>
      </c>
      <c r="Y308" s="4">
        <v>0</v>
      </c>
      <c r="Z308" s="4"/>
      <c r="AA308" s="4"/>
      <c r="AB308" s="4"/>
    </row>
    <row r="309" spans="1:28" x14ac:dyDescent="0.2">
      <c r="A309" s="4">
        <v>50</v>
      </c>
      <c r="B309" s="4">
        <v>0</v>
      </c>
      <c r="C309" s="4">
        <v>0</v>
      </c>
      <c r="D309" s="4">
        <v>1</v>
      </c>
      <c r="E309" s="4">
        <v>214</v>
      </c>
      <c r="F309" s="4">
        <f>ROUND(Source!AS292,O309)</f>
        <v>0</v>
      </c>
      <c r="G309" s="4" t="s">
        <v>128</v>
      </c>
      <c r="H309" s="4" t="s">
        <v>129</v>
      </c>
      <c r="I309" s="4"/>
      <c r="J309" s="4"/>
      <c r="K309" s="4">
        <v>214</v>
      </c>
      <c r="L309" s="4">
        <v>16</v>
      </c>
      <c r="M309" s="4">
        <v>3</v>
      </c>
      <c r="N309" s="4" t="s">
        <v>3</v>
      </c>
      <c r="O309" s="4">
        <v>2</v>
      </c>
      <c r="P309" s="4"/>
      <c r="Q309" s="4"/>
      <c r="R309" s="4"/>
      <c r="S309" s="4"/>
      <c r="T309" s="4"/>
      <c r="U309" s="4"/>
      <c r="V309" s="4"/>
      <c r="W309" s="4">
        <v>0</v>
      </c>
      <c r="X309" s="4">
        <v>1</v>
      </c>
      <c r="Y309" s="4">
        <v>0</v>
      </c>
      <c r="Z309" s="4"/>
      <c r="AA309" s="4"/>
      <c r="AB309" s="4"/>
    </row>
    <row r="310" spans="1:28" x14ac:dyDescent="0.2">
      <c r="A310" s="4">
        <v>50</v>
      </c>
      <c r="B310" s="4">
        <v>0</v>
      </c>
      <c r="C310" s="4">
        <v>0</v>
      </c>
      <c r="D310" s="4">
        <v>1</v>
      </c>
      <c r="E310" s="4">
        <v>215</v>
      </c>
      <c r="F310" s="4">
        <f>ROUND(Source!AT292,O310)</f>
        <v>0</v>
      </c>
      <c r="G310" s="4" t="s">
        <v>130</v>
      </c>
      <c r="H310" s="4" t="s">
        <v>131</v>
      </c>
      <c r="I310" s="4"/>
      <c r="J310" s="4"/>
      <c r="K310" s="4">
        <v>215</v>
      </c>
      <c r="L310" s="4">
        <v>17</v>
      </c>
      <c r="M310" s="4">
        <v>3</v>
      </c>
      <c r="N310" s="4" t="s">
        <v>3</v>
      </c>
      <c r="O310" s="4">
        <v>2</v>
      </c>
      <c r="P310" s="4"/>
      <c r="Q310" s="4"/>
      <c r="R310" s="4"/>
      <c r="S310" s="4"/>
      <c r="T310" s="4"/>
      <c r="U310" s="4"/>
      <c r="V310" s="4"/>
      <c r="W310" s="4">
        <v>0</v>
      </c>
      <c r="X310" s="4">
        <v>1</v>
      </c>
      <c r="Y310" s="4">
        <v>0</v>
      </c>
      <c r="Z310" s="4"/>
      <c r="AA310" s="4"/>
      <c r="AB310" s="4"/>
    </row>
    <row r="311" spans="1:28" x14ac:dyDescent="0.2">
      <c r="A311" s="4">
        <v>50</v>
      </c>
      <c r="B311" s="4">
        <v>0</v>
      </c>
      <c r="C311" s="4">
        <v>0</v>
      </c>
      <c r="D311" s="4">
        <v>1</v>
      </c>
      <c r="E311" s="4">
        <v>217</v>
      </c>
      <c r="F311" s="4">
        <f>ROUND(Source!AU292,O311)</f>
        <v>189869.88</v>
      </c>
      <c r="G311" s="4" t="s">
        <v>132</v>
      </c>
      <c r="H311" s="4" t="s">
        <v>133</v>
      </c>
      <c r="I311" s="4"/>
      <c r="J311" s="4"/>
      <c r="K311" s="4">
        <v>217</v>
      </c>
      <c r="L311" s="4">
        <v>18</v>
      </c>
      <c r="M311" s="4">
        <v>3</v>
      </c>
      <c r="N311" s="4" t="s">
        <v>3</v>
      </c>
      <c r="O311" s="4">
        <v>2</v>
      </c>
      <c r="P311" s="4"/>
      <c r="Q311" s="4"/>
      <c r="R311" s="4"/>
      <c r="S311" s="4"/>
      <c r="T311" s="4"/>
      <c r="U311" s="4"/>
      <c r="V311" s="4"/>
      <c r="W311" s="4">
        <v>127166.12</v>
      </c>
      <c r="X311" s="4">
        <v>1</v>
      </c>
      <c r="Y311" s="4">
        <v>127166.12</v>
      </c>
      <c r="Z311" s="4"/>
      <c r="AA311" s="4"/>
      <c r="AB311" s="4"/>
    </row>
    <row r="312" spans="1:28" x14ac:dyDescent="0.2">
      <c r="A312" s="4">
        <v>50</v>
      </c>
      <c r="B312" s="4">
        <v>0</v>
      </c>
      <c r="C312" s="4">
        <v>0</v>
      </c>
      <c r="D312" s="4">
        <v>1</v>
      </c>
      <c r="E312" s="4">
        <v>230</v>
      </c>
      <c r="F312" s="4">
        <f>ROUND(Source!BA292,O312)</f>
        <v>0</v>
      </c>
      <c r="G312" s="4" t="s">
        <v>134</v>
      </c>
      <c r="H312" s="4" t="s">
        <v>135</v>
      </c>
      <c r="I312" s="4"/>
      <c r="J312" s="4"/>
      <c r="K312" s="4">
        <v>230</v>
      </c>
      <c r="L312" s="4">
        <v>19</v>
      </c>
      <c r="M312" s="4">
        <v>3</v>
      </c>
      <c r="N312" s="4" t="s">
        <v>3</v>
      </c>
      <c r="O312" s="4">
        <v>2</v>
      </c>
      <c r="P312" s="4"/>
      <c r="Q312" s="4"/>
      <c r="R312" s="4"/>
      <c r="S312" s="4"/>
      <c r="T312" s="4"/>
      <c r="U312" s="4"/>
      <c r="V312" s="4"/>
      <c r="W312" s="4">
        <v>0</v>
      </c>
      <c r="X312" s="4">
        <v>1</v>
      </c>
      <c r="Y312" s="4">
        <v>0</v>
      </c>
      <c r="Z312" s="4"/>
      <c r="AA312" s="4"/>
      <c r="AB312" s="4"/>
    </row>
    <row r="313" spans="1:28" x14ac:dyDescent="0.2">
      <c r="A313" s="4">
        <v>50</v>
      </c>
      <c r="B313" s="4">
        <v>0</v>
      </c>
      <c r="C313" s="4">
        <v>0</v>
      </c>
      <c r="D313" s="4">
        <v>1</v>
      </c>
      <c r="E313" s="4">
        <v>206</v>
      </c>
      <c r="F313" s="4">
        <f>ROUND(Source!T292,O313)</f>
        <v>0</v>
      </c>
      <c r="G313" s="4" t="s">
        <v>136</v>
      </c>
      <c r="H313" s="4" t="s">
        <v>137</v>
      </c>
      <c r="I313" s="4"/>
      <c r="J313" s="4"/>
      <c r="K313" s="4">
        <v>206</v>
      </c>
      <c r="L313" s="4">
        <v>20</v>
      </c>
      <c r="M313" s="4">
        <v>3</v>
      </c>
      <c r="N313" s="4" t="s">
        <v>3</v>
      </c>
      <c r="O313" s="4">
        <v>2</v>
      </c>
      <c r="P313" s="4"/>
      <c r="Q313" s="4"/>
      <c r="R313" s="4"/>
      <c r="S313" s="4"/>
      <c r="T313" s="4"/>
      <c r="U313" s="4"/>
      <c r="V313" s="4"/>
      <c r="W313" s="4">
        <v>0</v>
      </c>
      <c r="X313" s="4">
        <v>1</v>
      </c>
      <c r="Y313" s="4">
        <v>0</v>
      </c>
      <c r="Z313" s="4"/>
      <c r="AA313" s="4"/>
      <c r="AB313" s="4"/>
    </row>
    <row r="314" spans="1:28" x14ac:dyDescent="0.2">
      <c r="A314" s="4">
        <v>50</v>
      </c>
      <c r="B314" s="4">
        <v>0</v>
      </c>
      <c r="C314" s="4">
        <v>0</v>
      </c>
      <c r="D314" s="4">
        <v>1</v>
      </c>
      <c r="E314" s="4">
        <v>207</v>
      </c>
      <c r="F314" s="4">
        <f>Source!U292</f>
        <v>140.92949999999996</v>
      </c>
      <c r="G314" s="4" t="s">
        <v>138</v>
      </c>
      <c r="H314" s="4" t="s">
        <v>139</v>
      </c>
      <c r="I314" s="4"/>
      <c r="J314" s="4"/>
      <c r="K314" s="4">
        <v>207</v>
      </c>
      <c r="L314" s="4">
        <v>21</v>
      </c>
      <c r="M314" s="4">
        <v>3</v>
      </c>
      <c r="N314" s="4" t="s">
        <v>3</v>
      </c>
      <c r="O314" s="4">
        <v>-1</v>
      </c>
      <c r="P314" s="4"/>
      <c r="Q314" s="4"/>
      <c r="R314" s="4"/>
      <c r="S314" s="4"/>
      <c r="T314" s="4"/>
      <c r="U314" s="4"/>
      <c r="V314" s="4"/>
      <c r="W314" s="4">
        <v>76.106999999999999</v>
      </c>
      <c r="X314" s="4">
        <v>1</v>
      </c>
      <c r="Y314" s="4">
        <v>76.106999999999999</v>
      </c>
      <c r="Z314" s="4"/>
      <c r="AA314" s="4"/>
      <c r="AB314" s="4"/>
    </row>
    <row r="315" spans="1:28" x14ac:dyDescent="0.2">
      <c r="A315" s="4">
        <v>50</v>
      </c>
      <c r="B315" s="4">
        <v>0</v>
      </c>
      <c r="C315" s="4">
        <v>0</v>
      </c>
      <c r="D315" s="4">
        <v>1</v>
      </c>
      <c r="E315" s="4">
        <v>208</v>
      </c>
      <c r="F315" s="4">
        <f>Source!V292</f>
        <v>0</v>
      </c>
      <c r="G315" s="4" t="s">
        <v>140</v>
      </c>
      <c r="H315" s="4" t="s">
        <v>141</v>
      </c>
      <c r="I315" s="4"/>
      <c r="J315" s="4"/>
      <c r="K315" s="4">
        <v>208</v>
      </c>
      <c r="L315" s="4">
        <v>22</v>
      </c>
      <c r="M315" s="4">
        <v>3</v>
      </c>
      <c r="N315" s="4" t="s">
        <v>3</v>
      </c>
      <c r="O315" s="4">
        <v>-1</v>
      </c>
      <c r="P315" s="4"/>
      <c r="Q315" s="4"/>
      <c r="R315" s="4"/>
      <c r="S315" s="4"/>
      <c r="T315" s="4"/>
      <c r="U315" s="4"/>
      <c r="V315" s="4"/>
      <c r="W315" s="4">
        <v>0</v>
      </c>
      <c r="X315" s="4">
        <v>1</v>
      </c>
      <c r="Y315" s="4">
        <v>0</v>
      </c>
      <c r="Z315" s="4"/>
      <c r="AA315" s="4"/>
      <c r="AB315" s="4"/>
    </row>
    <row r="316" spans="1:28" x14ac:dyDescent="0.2">
      <c r="A316" s="4">
        <v>50</v>
      </c>
      <c r="B316" s="4">
        <v>0</v>
      </c>
      <c r="C316" s="4">
        <v>0</v>
      </c>
      <c r="D316" s="4">
        <v>1</v>
      </c>
      <c r="E316" s="4">
        <v>209</v>
      </c>
      <c r="F316" s="4">
        <f>ROUND(Source!W292,O316)</f>
        <v>0</v>
      </c>
      <c r="G316" s="4" t="s">
        <v>142</v>
      </c>
      <c r="H316" s="4" t="s">
        <v>143</v>
      </c>
      <c r="I316" s="4"/>
      <c r="J316" s="4"/>
      <c r="K316" s="4">
        <v>209</v>
      </c>
      <c r="L316" s="4">
        <v>23</v>
      </c>
      <c r="M316" s="4">
        <v>3</v>
      </c>
      <c r="N316" s="4" t="s">
        <v>3</v>
      </c>
      <c r="O316" s="4">
        <v>2</v>
      </c>
      <c r="P316" s="4"/>
      <c r="Q316" s="4"/>
      <c r="R316" s="4"/>
      <c r="S316" s="4"/>
      <c r="T316" s="4"/>
      <c r="U316" s="4"/>
      <c r="V316" s="4"/>
      <c r="W316" s="4">
        <v>0</v>
      </c>
      <c r="X316" s="4">
        <v>1</v>
      </c>
      <c r="Y316" s="4">
        <v>0</v>
      </c>
      <c r="Z316" s="4"/>
      <c r="AA316" s="4"/>
      <c r="AB316" s="4"/>
    </row>
    <row r="317" spans="1:28" x14ac:dyDescent="0.2">
      <c r="A317" s="4">
        <v>50</v>
      </c>
      <c r="B317" s="4">
        <v>0</v>
      </c>
      <c r="C317" s="4">
        <v>0</v>
      </c>
      <c r="D317" s="4">
        <v>1</v>
      </c>
      <c r="E317" s="4">
        <v>233</v>
      </c>
      <c r="F317" s="4">
        <f>ROUND(Source!BD292,O317)</f>
        <v>0</v>
      </c>
      <c r="G317" s="4" t="s">
        <v>144</v>
      </c>
      <c r="H317" s="4" t="s">
        <v>145</v>
      </c>
      <c r="I317" s="4"/>
      <c r="J317" s="4"/>
      <c r="K317" s="4">
        <v>233</v>
      </c>
      <c r="L317" s="4">
        <v>24</v>
      </c>
      <c r="M317" s="4">
        <v>3</v>
      </c>
      <c r="N317" s="4" t="s">
        <v>3</v>
      </c>
      <c r="O317" s="4">
        <v>2</v>
      </c>
      <c r="P317" s="4"/>
      <c r="Q317" s="4"/>
      <c r="R317" s="4"/>
      <c r="S317" s="4"/>
      <c r="T317" s="4"/>
      <c r="U317" s="4"/>
      <c r="V317" s="4"/>
      <c r="W317" s="4">
        <v>0</v>
      </c>
      <c r="X317" s="4">
        <v>1</v>
      </c>
      <c r="Y317" s="4">
        <v>0</v>
      </c>
      <c r="Z317" s="4"/>
      <c r="AA317" s="4"/>
      <c r="AB317" s="4"/>
    </row>
    <row r="318" spans="1:28" x14ac:dyDescent="0.2">
      <c r="A318" s="4">
        <v>50</v>
      </c>
      <c r="B318" s="4">
        <v>0</v>
      </c>
      <c r="C318" s="4">
        <v>0</v>
      </c>
      <c r="D318" s="4">
        <v>1</v>
      </c>
      <c r="E318" s="4">
        <v>210</v>
      </c>
      <c r="F318" s="4">
        <f>ROUND(Source!X292,O318)</f>
        <v>55912.53</v>
      </c>
      <c r="G318" s="4" t="s">
        <v>146</v>
      </c>
      <c r="H318" s="4" t="s">
        <v>147</v>
      </c>
      <c r="I318" s="4"/>
      <c r="J318" s="4"/>
      <c r="K318" s="4">
        <v>210</v>
      </c>
      <c r="L318" s="4">
        <v>25</v>
      </c>
      <c r="M318" s="4">
        <v>3</v>
      </c>
      <c r="N318" s="4" t="s">
        <v>3</v>
      </c>
      <c r="O318" s="4">
        <v>2</v>
      </c>
      <c r="P318" s="4"/>
      <c r="Q318" s="4"/>
      <c r="R318" s="4"/>
      <c r="S318" s="4"/>
      <c r="T318" s="4"/>
      <c r="U318" s="4"/>
      <c r="V318" s="4"/>
      <c r="W318" s="4">
        <v>32450.81</v>
      </c>
      <c r="X318" s="4">
        <v>1</v>
      </c>
      <c r="Y318" s="4">
        <v>32450.81</v>
      </c>
      <c r="Z318" s="4"/>
      <c r="AA318" s="4"/>
      <c r="AB318" s="4"/>
    </row>
    <row r="319" spans="1:28" x14ac:dyDescent="0.2">
      <c r="A319" s="4">
        <v>50</v>
      </c>
      <c r="B319" s="4">
        <v>0</v>
      </c>
      <c r="C319" s="4">
        <v>0</v>
      </c>
      <c r="D319" s="4">
        <v>1</v>
      </c>
      <c r="E319" s="4">
        <v>211</v>
      </c>
      <c r="F319" s="4">
        <f>ROUND(Source!Y292,O319)</f>
        <v>7987.51</v>
      </c>
      <c r="G319" s="4" t="s">
        <v>148</v>
      </c>
      <c r="H319" s="4" t="s">
        <v>149</v>
      </c>
      <c r="I319" s="4"/>
      <c r="J319" s="4"/>
      <c r="K319" s="4">
        <v>211</v>
      </c>
      <c r="L319" s="4">
        <v>26</v>
      </c>
      <c r="M319" s="4">
        <v>3</v>
      </c>
      <c r="N319" s="4" t="s">
        <v>3</v>
      </c>
      <c r="O319" s="4">
        <v>2</v>
      </c>
      <c r="P319" s="4"/>
      <c r="Q319" s="4"/>
      <c r="R319" s="4"/>
      <c r="S319" s="4"/>
      <c r="T319" s="4"/>
      <c r="U319" s="4"/>
      <c r="V319" s="4"/>
      <c r="W319" s="4">
        <v>4635.83</v>
      </c>
      <c r="X319" s="4">
        <v>1</v>
      </c>
      <c r="Y319" s="4">
        <v>4635.83</v>
      </c>
      <c r="Z319" s="4"/>
      <c r="AA319" s="4"/>
      <c r="AB319" s="4"/>
    </row>
    <row r="320" spans="1:28" x14ac:dyDescent="0.2">
      <c r="A320" s="4">
        <v>50</v>
      </c>
      <c r="B320" s="4">
        <v>0</v>
      </c>
      <c r="C320" s="4">
        <v>0</v>
      </c>
      <c r="D320" s="4">
        <v>1</v>
      </c>
      <c r="E320" s="4">
        <v>224</v>
      </c>
      <c r="F320" s="4">
        <f>ROUND(Source!AR292,O320)</f>
        <v>189869.88</v>
      </c>
      <c r="G320" s="4" t="s">
        <v>150</v>
      </c>
      <c r="H320" s="4" t="s">
        <v>151</v>
      </c>
      <c r="I320" s="4"/>
      <c r="J320" s="4"/>
      <c r="K320" s="4">
        <v>224</v>
      </c>
      <c r="L320" s="4">
        <v>27</v>
      </c>
      <c r="M320" s="4">
        <v>3</v>
      </c>
      <c r="N320" s="4" t="s">
        <v>3</v>
      </c>
      <c r="O320" s="4">
        <v>2</v>
      </c>
      <c r="P320" s="4"/>
      <c r="Q320" s="4"/>
      <c r="R320" s="4"/>
      <c r="S320" s="4"/>
      <c r="T320" s="4"/>
      <c r="U320" s="4"/>
      <c r="V320" s="4"/>
      <c r="W320" s="4">
        <v>127166.12</v>
      </c>
      <c r="X320" s="4">
        <v>1</v>
      </c>
      <c r="Y320" s="4">
        <v>127166.12</v>
      </c>
      <c r="Z320" s="4"/>
      <c r="AA320" s="4"/>
      <c r="AB320" s="4"/>
    </row>
    <row r="322" spans="1:245" x14ac:dyDescent="0.2">
      <c r="A322" s="1">
        <v>5</v>
      </c>
      <c r="B322" s="1">
        <v>1</v>
      </c>
      <c r="C322" s="1"/>
      <c r="D322" s="1">
        <f>ROW(A330)</f>
        <v>330</v>
      </c>
      <c r="E322" s="1"/>
      <c r="F322" s="1" t="s">
        <v>14</v>
      </c>
      <c r="G322" s="1" t="s">
        <v>152</v>
      </c>
      <c r="H322" s="1" t="s">
        <v>3</v>
      </c>
      <c r="I322" s="1">
        <v>0</v>
      </c>
      <c r="J322" s="1"/>
      <c r="K322" s="1">
        <v>-1</v>
      </c>
      <c r="L322" s="1"/>
      <c r="M322" s="1" t="s">
        <v>3</v>
      </c>
      <c r="N322" s="1"/>
      <c r="O322" s="1"/>
      <c r="P322" s="1"/>
      <c r="Q322" s="1"/>
      <c r="R322" s="1"/>
      <c r="S322" s="1">
        <v>0</v>
      </c>
      <c r="T322" s="1"/>
      <c r="U322" s="1" t="s">
        <v>3</v>
      </c>
      <c r="V322" s="1">
        <v>0</v>
      </c>
      <c r="W322" s="1"/>
      <c r="X322" s="1"/>
      <c r="Y322" s="1"/>
      <c r="Z322" s="1"/>
      <c r="AA322" s="1"/>
      <c r="AB322" s="1" t="s">
        <v>3</v>
      </c>
      <c r="AC322" s="1" t="s">
        <v>3</v>
      </c>
      <c r="AD322" s="1" t="s">
        <v>3</v>
      </c>
      <c r="AE322" s="1" t="s">
        <v>3</v>
      </c>
      <c r="AF322" s="1" t="s">
        <v>3</v>
      </c>
      <c r="AG322" s="1" t="s">
        <v>3</v>
      </c>
      <c r="AH322" s="1"/>
      <c r="AI322" s="1"/>
      <c r="AJ322" s="1"/>
      <c r="AK322" s="1"/>
      <c r="AL322" s="1"/>
      <c r="AM322" s="1"/>
      <c r="AN322" s="1"/>
      <c r="AO322" s="1"/>
      <c r="AP322" s="1" t="s">
        <v>3</v>
      </c>
      <c r="AQ322" s="1" t="s">
        <v>3</v>
      </c>
      <c r="AR322" s="1" t="s">
        <v>3</v>
      </c>
      <c r="AS322" s="1"/>
      <c r="AT322" s="1"/>
      <c r="AU322" s="1"/>
      <c r="AV322" s="1"/>
      <c r="AW322" s="1"/>
      <c r="AX322" s="1"/>
      <c r="AY322" s="1"/>
      <c r="AZ322" s="1" t="s">
        <v>3</v>
      </c>
      <c r="BA322" s="1"/>
      <c r="BB322" s="1" t="s">
        <v>3</v>
      </c>
      <c r="BC322" s="1" t="s">
        <v>3</v>
      </c>
      <c r="BD322" s="1" t="s">
        <v>3</v>
      </c>
      <c r="BE322" s="1" t="s">
        <v>3</v>
      </c>
      <c r="BF322" s="1" t="s">
        <v>3</v>
      </c>
      <c r="BG322" s="1" t="s">
        <v>3</v>
      </c>
      <c r="BH322" s="1" t="s">
        <v>3</v>
      </c>
      <c r="BI322" s="1" t="s">
        <v>3</v>
      </c>
      <c r="BJ322" s="1" t="s">
        <v>3</v>
      </c>
      <c r="BK322" s="1" t="s">
        <v>3</v>
      </c>
      <c r="BL322" s="1" t="s">
        <v>3</v>
      </c>
      <c r="BM322" s="1" t="s">
        <v>3</v>
      </c>
      <c r="BN322" s="1" t="s">
        <v>3</v>
      </c>
      <c r="BO322" s="1" t="s">
        <v>3</v>
      </c>
      <c r="BP322" s="1" t="s">
        <v>3</v>
      </c>
      <c r="BQ322" s="1"/>
      <c r="BR322" s="1"/>
      <c r="BS322" s="1"/>
      <c r="BT322" s="1"/>
      <c r="BU322" s="1"/>
      <c r="BV322" s="1"/>
      <c r="BW322" s="1"/>
      <c r="BX322" s="1">
        <v>0</v>
      </c>
      <c r="BY322" s="1"/>
      <c r="BZ322" s="1"/>
      <c r="CA322" s="1"/>
      <c r="CB322" s="1"/>
      <c r="CC322" s="1"/>
      <c r="CD322" s="1"/>
      <c r="CE322" s="1"/>
      <c r="CF322" s="1"/>
      <c r="CG322" s="1"/>
      <c r="CH322" s="1"/>
      <c r="CI322" s="1"/>
      <c r="CJ322" s="1">
        <v>0</v>
      </c>
    </row>
    <row r="324" spans="1:245" x14ac:dyDescent="0.2">
      <c r="A324" s="2">
        <v>52</v>
      </c>
      <c r="B324" s="2">
        <f t="shared" ref="B324:G324" si="289">B330</f>
        <v>1</v>
      </c>
      <c r="C324" s="2">
        <f t="shared" si="289"/>
        <v>5</v>
      </c>
      <c r="D324" s="2">
        <f t="shared" si="289"/>
        <v>322</v>
      </c>
      <c r="E324" s="2">
        <f t="shared" si="289"/>
        <v>0</v>
      </c>
      <c r="F324" s="2" t="str">
        <f t="shared" si="289"/>
        <v>Новый подраздел</v>
      </c>
      <c r="G324" s="2" t="str">
        <f t="shared" si="289"/>
        <v>Отопление</v>
      </c>
      <c r="H324" s="2"/>
      <c r="I324" s="2"/>
      <c r="J324" s="2"/>
      <c r="K324" s="2"/>
      <c r="L324" s="2"/>
      <c r="M324" s="2"/>
      <c r="N324" s="2"/>
      <c r="O324" s="2">
        <f t="shared" ref="O324:AT324" si="290">O330</f>
        <v>2666.4</v>
      </c>
      <c r="P324" s="2">
        <f t="shared" si="290"/>
        <v>66</v>
      </c>
      <c r="Q324" s="2">
        <f t="shared" si="290"/>
        <v>6.9</v>
      </c>
      <c r="R324" s="2">
        <f t="shared" si="290"/>
        <v>0</v>
      </c>
      <c r="S324" s="2">
        <f t="shared" si="290"/>
        <v>2593.5</v>
      </c>
      <c r="T324" s="2">
        <f t="shared" si="290"/>
        <v>0</v>
      </c>
      <c r="U324" s="2">
        <f t="shared" si="290"/>
        <v>4.2</v>
      </c>
      <c r="V324" s="2">
        <f t="shared" si="290"/>
        <v>0</v>
      </c>
      <c r="W324" s="2">
        <f t="shared" si="290"/>
        <v>0</v>
      </c>
      <c r="X324" s="2">
        <f t="shared" si="290"/>
        <v>1815.45</v>
      </c>
      <c r="Y324" s="2">
        <f t="shared" si="290"/>
        <v>259.35000000000002</v>
      </c>
      <c r="Z324" s="2">
        <f t="shared" si="290"/>
        <v>0</v>
      </c>
      <c r="AA324" s="2">
        <f t="shared" si="290"/>
        <v>0</v>
      </c>
      <c r="AB324" s="2">
        <f t="shared" si="290"/>
        <v>2666.4</v>
      </c>
      <c r="AC324" s="2">
        <f t="shared" si="290"/>
        <v>66</v>
      </c>
      <c r="AD324" s="2">
        <f t="shared" si="290"/>
        <v>6.9</v>
      </c>
      <c r="AE324" s="2">
        <f t="shared" si="290"/>
        <v>0</v>
      </c>
      <c r="AF324" s="2">
        <f t="shared" si="290"/>
        <v>2593.5</v>
      </c>
      <c r="AG324" s="2">
        <f t="shared" si="290"/>
        <v>0</v>
      </c>
      <c r="AH324" s="2">
        <f t="shared" si="290"/>
        <v>4.2</v>
      </c>
      <c r="AI324" s="2">
        <f t="shared" si="290"/>
        <v>0</v>
      </c>
      <c r="AJ324" s="2">
        <f t="shared" si="290"/>
        <v>0</v>
      </c>
      <c r="AK324" s="2">
        <f t="shared" si="290"/>
        <v>1815.45</v>
      </c>
      <c r="AL324" s="2">
        <f t="shared" si="290"/>
        <v>259.35000000000002</v>
      </c>
      <c r="AM324" s="2">
        <f t="shared" si="290"/>
        <v>0</v>
      </c>
      <c r="AN324" s="2">
        <f t="shared" si="290"/>
        <v>0</v>
      </c>
      <c r="AO324" s="2">
        <f t="shared" si="290"/>
        <v>0</v>
      </c>
      <c r="AP324" s="2">
        <f t="shared" si="290"/>
        <v>0</v>
      </c>
      <c r="AQ324" s="2">
        <f t="shared" si="290"/>
        <v>0</v>
      </c>
      <c r="AR324" s="2">
        <f t="shared" si="290"/>
        <v>4741.2</v>
      </c>
      <c r="AS324" s="2">
        <f t="shared" si="290"/>
        <v>0</v>
      </c>
      <c r="AT324" s="2">
        <f t="shared" si="290"/>
        <v>0</v>
      </c>
      <c r="AU324" s="2">
        <f t="shared" ref="AU324:BZ324" si="291">AU330</f>
        <v>4741.2</v>
      </c>
      <c r="AV324" s="2">
        <f t="shared" si="291"/>
        <v>66</v>
      </c>
      <c r="AW324" s="2">
        <f t="shared" si="291"/>
        <v>66</v>
      </c>
      <c r="AX324" s="2">
        <f t="shared" si="291"/>
        <v>0</v>
      </c>
      <c r="AY324" s="2">
        <f t="shared" si="291"/>
        <v>66</v>
      </c>
      <c r="AZ324" s="2">
        <f t="shared" si="291"/>
        <v>0</v>
      </c>
      <c r="BA324" s="2">
        <f t="shared" si="291"/>
        <v>0</v>
      </c>
      <c r="BB324" s="2">
        <f t="shared" si="291"/>
        <v>0</v>
      </c>
      <c r="BC324" s="2">
        <f t="shared" si="291"/>
        <v>0</v>
      </c>
      <c r="BD324" s="2">
        <f t="shared" si="291"/>
        <v>0</v>
      </c>
      <c r="BE324" s="2">
        <f t="shared" si="291"/>
        <v>0</v>
      </c>
      <c r="BF324" s="2">
        <f t="shared" si="291"/>
        <v>0</v>
      </c>
      <c r="BG324" s="2">
        <f t="shared" si="291"/>
        <v>0</v>
      </c>
      <c r="BH324" s="2">
        <f t="shared" si="291"/>
        <v>0</v>
      </c>
      <c r="BI324" s="2">
        <f t="shared" si="291"/>
        <v>0</v>
      </c>
      <c r="BJ324" s="2">
        <f t="shared" si="291"/>
        <v>0</v>
      </c>
      <c r="BK324" s="2">
        <f t="shared" si="291"/>
        <v>0</v>
      </c>
      <c r="BL324" s="2">
        <f t="shared" si="291"/>
        <v>0</v>
      </c>
      <c r="BM324" s="2">
        <f t="shared" si="291"/>
        <v>0</v>
      </c>
      <c r="BN324" s="2">
        <f t="shared" si="291"/>
        <v>0</v>
      </c>
      <c r="BO324" s="2">
        <f t="shared" si="291"/>
        <v>0</v>
      </c>
      <c r="BP324" s="2">
        <f t="shared" si="291"/>
        <v>0</v>
      </c>
      <c r="BQ324" s="2">
        <f t="shared" si="291"/>
        <v>0</v>
      </c>
      <c r="BR324" s="2">
        <f t="shared" si="291"/>
        <v>0</v>
      </c>
      <c r="BS324" s="2">
        <f t="shared" si="291"/>
        <v>0</v>
      </c>
      <c r="BT324" s="2">
        <f t="shared" si="291"/>
        <v>0</v>
      </c>
      <c r="BU324" s="2">
        <f t="shared" si="291"/>
        <v>0</v>
      </c>
      <c r="BV324" s="2">
        <f t="shared" si="291"/>
        <v>0</v>
      </c>
      <c r="BW324" s="2">
        <f t="shared" si="291"/>
        <v>0</v>
      </c>
      <c r="BX324" s="2">
        <f t="shared" si="291"/>
        <v>0</v>
      </c>
      <c r="BY324" s="2">
        <f t="shared" si="291"/>
        <v>0</v>
      </c>
      <c r="BZ324" s="2">
        <f t="shared" si="291"/>
        <v>0</v>
      </c>
      <c r="CA324" s="2">
        <f t="shared" ref="CA324:DF324" si="292">CA330</f>
        <v>4741.2</v>
      </c>
      <c r="CB324" s="2">
        <f t="shared" si="292"/>
        <v>0</v>
      </c>
      <c r="CC324" s="2">
        <f t="shared" si="292"/>
        <v>0</v>
      </c>
      <c r="CD324" s="2">
        <f t="shared" si="292"/>
        <v>4741.2</v>
      </c>
      <c r="CE324" s="2">
        <f t="shared" si="292"/>
        <v>66</v>
      </c>
      <c r="CF324" s="2">
        <f t="shared" si="292"/>
        <v>66</v>
      </c>
      <c r="CG324" s="2">
        <f t="shared" si="292"/>
        <v>0</v>
      </c>
      <c r="CH324" s="2">
        <f t="shared" si="292"/>
        <v>66</v>
      </c>
      <c r="CI324" s="2">
        <f t="shared" si="292"/>
        <v>0</v>
      </c>
      <c r="CJ324" s="2">
        <f t="shared" si="292"/>
        <v>0</v>
      </c>
      <c r="CK324" s="2">
        <f t="shared" si="292"/>
        <v>0</v>
      </c>
      <c r="CL324" s="2">
        <f t="shared" si="292"/>
        <v>0</v>
      </c>
      <c r="CM324" s="2">
        <f t="shared" si="292"/>
        <v>0</v>
      </c>
      <c r="CN324" s="2">
        <f t="shared" si="292"/>
        <v>0</v>
      </c>
      <c r="CO324" s="2">
        <f t="shared" si="292"/>
        <v>0</v>
      </c>
      <c r="CP324" s="2">
        <f t="shared" si="292"/>
        <v>0</v>
      </c>
      <c r="CQ324" s="2">
        <f t="shared" si="292"/>
        <v>0</v>
      </c>
      <c r="CR324" s="2">
        <f t="shared" si="292"/>
        <v>0</v>
      </c>
      <c r="CS324" s="2">
        <f t="shared" si="292"/>
        <v>0</v>
      </c>
      <c r="CT324" s="2">
        <f t="shared" si="292"/>
        <v>0</v>
      </c>
      <c r="CU324" s="2">
        <f t="shared" si="292"/>
        <v>0</v>
      </c>
      <c r="CV324" s="2">
        <f t="shared" si="292"/>
        <v>0</v>
      </c>
      <c r="CW324" s="2">
        <f t="shared" si="292"/>
        <v>0</v>
      </c>
      <c r="CX324" s="2">
        <f t="shared" si="292"/>
        <v>0</v>
      </c>
      <c r="CY324" s="2">
        <f t="shared" si="292"/>
        <v>0</v>
      </c>
      <c r="CZ324" s="2">
        <f t="shared" si="292"/>
        <v>0</v>
      </c>
      <c r="DA324" s="2">
        <f t="shared" si="292"/>
        <v>0</v>
      </c>
      <c r="DB324" s="2">
        <f t="shared" si="292"/>
        <v>0</v>
      </c>
      <c r="DC324" s="2">
        <f t="shared" si="292"/>
        <v>0</v>
      </c>
      <c r="DD324" s="2">
        <f t="shared" si="292"/>
        <v>0</v>
      </c>
      <c r="DE324" s="2">
        <f t="shared" si="292"/>
        <v>0</v>
      </c>
      <c r="DF324" s="2">
        <f t="shared" si="292"/>
        <v>0</v>
      </c>
      <c r="DG324" s="3">
        <f t="shared" ref="DG324:EL324" si="293">DG330</f>
        <v>0</v>
      </c>
      <c r="DH324" s="3">
        <f t="shared" si="293"/>
        <v>0</v>
      </c>
      <c r="DI324" s="3">
        <f t="shared" si="293"/>
        <v>0</v>
      </c>
      <c r="DJ324" s="3">
        <f t="shared" si="293"/>
        <v>0</v>
      </c>
      <c r="DK324" s="3">
        <f t="shared" si="293"/>
        <v>0</v>
      </c>
      <c r="DL324" s="3">
        <f t="shared" si="293"/>
        <v>0</v>
      </c>
      <c r="DM324" s="3">
        <f t="shared" si="293"/>
        <v>0</v>
      </c>
      <c r="DN324" s="3">
        <f t="shared" si="293"/>
        <v>0</v>
      </c>
      <c r="DO324" s="3">
        <f t="shared" si="293"/>
        <v>0</v>
      </c>
      <c r="DP324" s="3">
        <f t="shared" si="293"/>
        <v>0</v>
      </c>
      <c r="DQ324" s="3">
        <f t="shared" si="293"/>
        <v>0</v>
      </c>
      <c r="DR324" s="3">
        <f t="shared" si="293"/>
        <v>0</v>
      </c>
      <c r="DS324" s="3">
        <f t="shared" si="293"/>
        <v>0</v>
      </c>
      <c r="DT324" s="3">
        <f t="shared" si="293"/>
        <v>0</v>
      </c>
      <c r="DU324" s="3">
        <f t="shared" si="293"/>
        <v>0</v>
      </c>
      <c r="DV324" s="3">
        <f t="shared" si="293"/>
        <v>0</v>
      </c>
      <c r="DW324" s="3">
        <f t="shared" si="293"/>
        <v>0</v>
      </c>
      <c r="DX324" s="3">
        <f t="shared" si="293"/>
        <v>0</v>
      </c>
      <c r="DY324" s="3">
        <f t="shared" si="293"/>
        <v>0</v>
      </c>
      <c r="DZ324" s="3">
        <f t="shared" si="293"/>
        <v>0</v>
      </c>
      <c r="EA324" s="3">
        <f t="shared" si="293"/>
        <v>0</v>
      </c>
      <c r="EB324" s="3">
        <f t="shared" si="293"/>
        <v>0</v>
      </c>
      <c r="EC324" s="3">
        <f t="shared" si="293"/>
        <v>0</v>
      </c>
      <c r="ED324" s="3">
        <f t="shared" si="293"/>
        <v>0</v>
      </c>
      <c r="EE324" s="3">
        <f t="shared" si="293"/>
        <v>0</v>
      </c>
      <c r="EF324" s="3">
        <f t="shared" si="293"/>
        <v>0</v>
      </c>
      <c r="EG324" s="3">
        <f t="shared" si="293"/>
        <v>0</v>
      </c>
      <c r="EH324" s="3">
        <f t="shared" si="293"/>
        <v>0</v>
      </c>
      <c r="EI324" s="3">
        <f t="shared" si="293"/>
        <v>0</v>
      </c>
      <c r="EJ324" s="3">
        <f t="shared" si="293"/>
        <v>0</v>
      </c>
      <c r="EK324" s="3">
        <f t="shared" si="293"/>
        <v>0</v>
      </c>
      <c r="EL324" s="3">
        <f t="shared" si="293"/>
        <v>0</v>
      </c>
      <c r="EM324" s="3">
        <f t="shared" ref="EM324:FR324" si="294">EM330</f>
        <v>0</v>
      </c>
      <c r="EN324" s="3">
        <f t="shared" si="294"/>
        <v>0</v>
      </c>
      <c r="EO324" s="3">
        <f t="shared" si="294"/>
        <v>0</v>
      </c>
      <c r="EP324" s="3">
        <f t="shared" si="294"/>
        <v>0</v>
      </c>
      <c r="EQ324" s="3">
        <f t="shared" si="294"/>
        <v>0</v>
      </c>
      <c r="ER324" s="3">
        <f t="shared" si="294"/>
        <v>0</v>
      </c>
      <c r="ES324" s="3">
        <f t="shared" si="294"/>
        <v>0</v>
      </c>
      <c r="ET324" s="3">
        <f t="shared" si="294"/>
        <v>0</v>
      </c>
      <c r="EU324" s="3">
        <f t="shared" si="294"/>
        <v>0</v>
      </c>
      <c r="EV324" s="3">
        <f t="shared" si="294"/>
        <v>0</v>
      </c>
      <c r="EW324" s="3">
        <f t="shared" si="294"/>
        <v>0</v>
      </c>
      <c r="EX324" s="3">
        <f t="shared" si="294"/>
        <v>0</v>
      </c>
      <c r="EY324" s="3">
        <f t="shared" si="294"/>
        <v>0</v>
      </c>
      <c r="EZ324" s="3">
        <f t="shared" si="294"/>
        <v>0</v>
      </c>
      <c r="FA324" s="3">
        <f t="shared" si="294"/>
        <v>0</v>
      </c>
      <c r="FB324" s="3">
        <f t="shared" si="294"/>
        <v>0</v>
      </c>
      <c r="FC324" s="3">
        <f t="shared" si="294"/>
        <v>0</v>
      </c>
      <c r="FD324" s="3">
        <f t="shared" si="294"/>
        <v>0</v>
      </c>
      <c r="FE324" s="3">
        <f t="shared" si="294"/>
        <v>0</v>
      </c>
      <c r="FF324" s="3">
        <f t="shared" si="294"/>
        <v>0</v>
      </c>
      <c r="FG324" s="3">
        <f t="shared" si="294"/>
        <v>0</v>
      </c>
      <c r="FH324" s="3">
        <f t="shared" si="294"/>
        <v>0</v>
      </c>
      <c r="FI324" s="3">
        <f t="shared" si="294"/>
        <v>0</v>
      </c>
      <c r="FJ324" s="3">
        <f t="shared" si="294"/>
        <v>0</v>
      </c>
      <c r="FK324" s="3">
        <f t="shared" si="294"/>
        <v>0</v>
      </c>
      <c r="FL324" s="3">
        <f t="shared" si="294"/>
        <v>0</v>
      </c>
      <c r="FM324" s="3">
        <f t="shared" si="294"/>
        <v>0</v>
      </c>
      <c r="FN324" s="3">
        <f t="shared" si="294"/>
        <v>0</v>
      </c>
      <c r="FO324" s="3">
        <f t="shared" si="294"/>
        <v>0</v>
      </c>
      <c r="FP324" s="3">
        <f t="shared" si="294"/>
        <v>0</v>
      </c>
      <c r="FQ324" s="3">
        <f t="shared" si="294"/>
        <v>0</v>
      </c>
      <c r="FR324" s="3">
        <f t="shared" si="294"/>
        <v>0</v>
      </c>
      <c r="FS324" s="3">
        <f t="shared" ref="FS324:GX324" si="295">FS330</f>
        <v>0</v>
      </c>
      <c r="FT324" s="3">
        <f t="shared" si="295"/>
        <v>0</v>
      </c>
      <c r="FU324" s="3">
        <f t="shared" si="295"/>
        <v>0</v>
      </c>
      <c r="FV324" s="3">
        <f t="shared" si="295"/>
        <v>0</v>
      </c>
      <c r="FW324" s="3">
        <f t="shared" si="295"/>
        <v>0</v>
      </c>
      <c r="FX324" s="3">
        <f t="shared" si="295"/>
        <v>0</v>
      </c>
      <c r="FY324" s="3">
        <f t="shared" si="295"/>
        <v>0</v>
      </c>
      <c r="FZ324" s="3">
        <f t="shared" si="295"/>
        <v>0</v>
      </c>
      <c r="GA324" s="3">
        <f t="shared" si="295"/>
        <v>0</v>
      </c>
      <c r="GB324" s="3">
        <f t="shared" si="295"/>
        <v>0</v>
      </c>
      <c r="GC324" s="3">
        <f t="shared" si="295"/>
        <v>0</v>
      </c>
      <c r="GD324" s="3">
        <f t="shared" si="295"/>
        <v>0</v>
      </c>
      <c r="GE324" s="3">
        <f t="shared" si="295"/>
        <v>0</v>
      </c>
      <c r="GF324" s="3">
        <f t="shared" si="295"/>
        <v>0</v>
      </c>
      <c r="GG324" s="3">
        <f t="shared" si="295"/>
        <v>0</v>
      </c>
      <c r="GH324" s="3">
        <f t="shared" si="295"/>
        <v>0</v>
      </c>
      <c r="GI324" s="3">
        <f t="shared" si="295"/>
        <v>0</v>
      </c>
      <c r="GJ324" s="3">
        <f t="shared" si="295"/>
        <v>0</v>
      </c>
      <c r="GK324" s="3">
        <f t="shared" si="295"/>
        <v>0</v>
      </c>
      <c r="GL324" s="3">
        <f t="shared" si="295"/>
        <v>0</v>
      </c>
      <c r="GM324" s="3">
        <f t="shared" si="295"/>
        <v>0</v>
      </c>
      <c r="GN324" s="3">
        <f t="shared" si="295"/>
        <v>0</v>
      </c>
      <c r="GO324" s="3">
        <f t="shared" si="295"/>
        <v>0</v>
      </c>
      <c r="GP324" s="3">
        <f t="shared" si="295"/>
        <v>0</v>
      </c>
      <c r="GQ324" s="3">
        <f t="shared" si="295"/>
        <v>0</v>
      </c>
      <c r="GR324" s="3">
        <f t="shared" si="295"/>
        <v>0</v>
      </c>
      <c r="GS324" s="3">
        <f t="shared" si="295"/>
        <v>0</v>
      </c>
      <c r="GT324" s="3">
        <f t="shared" si="295"/>
        <v>0</v>
      </c>
      <c r="GU324" s="3">
        <f t="shared" si="295"/>
        <v>0</v>
      </c>
      <c r="GV324" s="3">
        <f t="shared" si="295"/>
        <v>0</v>
      </c>
      <c r="GW324" s="3">
        <f t="shared" si="295"/>
        <v>0</v>
      </c>
      <c r="GX324" s="3">
        <f t="shared" si="295"/>
        <v>0</v>
      </c>
    </row>
    <row r="326" spans="1:245" x14ac:dyDescent="0.2">
      <c r="A326">
        <v>17</v>
      </c>
      <c r="B326">
        <v>1</v>
      </c>
      <c r="D326">
        <f>ROW(EtalonRes!A176)</f>
        <v>176</v>
      </c>
      <c r="E326" t="s">
        <v>3</v>
      </c>
      <c r="F326" t="s">
        <v>153</v>
      </c>
      <c r="G326" t="s">
        <v>154</v>
      </c>
      <c r="H326" t="s">
        <v>36</v>
      </c>
      <c r="I326">
        <f>ROUND(2*15,9)</f>
        <v>30</v>
      </c>
      <c r="J326">
        <v>0</v>
      </c>
      <c r="K326">
        <f>ROUND(2*15,9)</f>
        <v>30</v>
      </c>
      <c r="O326">
        <f>ROUND(CP326,2)</f>
        <v>33860.1</v>
      </c>
      <c r="P326">
        <f>ROUND(CQ326*I326,2)</f>
        <v>9.3000000000000007</v>
      </c>
      <c r="Q326">
        <f>ROUND(CR326*I326,2)</f>
        <v>0</v>
      </c>
      <c r="R326">
        <f>ROUND(CS326*I326,2)</f>
        <v>0</v>
      </c>
      <c r="S326">
        <f>ROUND(CT326*I326,2)</f>
        <v>33850.800000000003</v>
      </c>
      <c r="T326">
        <f>ROUND(CU326*I326,2)</f>
        <v>0</v>
      </c>
      <c r="U326">
        <f>CV326*I326</f>
        <v>47.7</v>
      </c>
      <c r="V326">
        <f>CW326*I326</f>
        <v>0</v>
      </c>
      <c r="W326">
        <f>ROUND(CX326*I326,2)</f>
        <v>0</v>
      </c>
      <c r="X326">
        <f t="shared" ref="X326:Y328" si="296">ROUND(CY326,2)</f>
        <v>23695.56</v>
      </c>
      <c r="Y326">
        <f t="shared" si="296"/>
        <v>3385.08</v>
      </c>
      <c r="AA326">
        <v>-1</v>
      </c>
      <c r="AB326">
        <f>ROUND((AC326+AD326+AF326),6)</f>
        <v>1128.67</v>
      </c>
      <c r="AC326">
        <f>ROUND((ES326),6)</f>
        <v>0.31</v>
      </c>
      <c r="AD326">
        <f>ROUND((((ET326)-(EU326))+AE326),6)</f>
        <v>0</v>
      </c>
      <c r="AE326">
        <f>ROUND((EU326),6)</f>
        <v>0</v>
      </c>
      <c r="AF326">
        <f>ROUND((EV326),6)</f>
        <v>1128.3599999999999</v>
      </c>
      <c r="AG326">
        <f>ROUND((AP326),6)</f>
        <v>0</v>
      </c>
      <c r="AH326">
        <f>(EW326)</f>
        <v>1.59</v>
      </c>
      <c r="AI326">
        <f>(EX326)</f>
        <v>0</v>
      </c>
      <c r="AJ326">
        <f>(AS326)</f>
        <v>0</v>
      </c>
      <c r="AK326">
        <v>1128.67</v>
      </c>
      <c r="AL326">
        <v>0.31</v>
      </c>
      <c r="AM326">
        <v>0</v>
      </c>
      <c r="AN326">
        <v>0</v>
      </c>
      <c r="AO326">
        <v>1128.3599999999999</v>
      </c>
      <c r="AP326">
        <v>0</v>
      </c>
      <c r="AQ326">
        <v>1.59</v>
      </c>
      <c r="AR326">
        <v>0</v>
      </c>
      <c r="AS326">
        <v>0</v>
      </c>
      <c r="AT326">
        <v>70</v>
      </c>
      <c r="AU326">
        <v>10</v>
      </c>
      <c r="AV326">
        <v>1</v>
      </c>
      <c r="AW326">
        <v>1</v>
      </c>
      <c r="AZ326">
        <v>1</v>
      </c>
      <c r="BA326">
        <v>1</v>
      </c>
      <c r="BB326">
        <v>1</v>
      </c>
      <c r="BC326">
        <v>1</v>
      </c>
      <c r="BD326" t="s">
        <v>3</v>
      </c>
      <c r="BE326" t="s">
        <v>3</v>
      </c>
      <c r="BF326" t="s">
        <v>3</v>
      </c>
      <c r="BG326" t="s">
        <v>3</v>
      </c>
      <c r="BH326">
        <v>0</v>
      </c>
      <c r="BI326">
        <v>4</v>
      </c>
      <c r="BJ326" t="s">
        <v>155</v>
      </c>
      <c r="BM326">
        <v>0</v>
      </c>
      <c r="BN326">
        <v>0</v>
      </c>
      <c r="BO326" t="s">
        <v>3</v>
      </c>
      <c r="BP326">
        <v>0</v>
      </c>
      <c r="BQ326">
        <v>1</v>
      </c>
      <c r="BR326">
        <v>0</v>
      </c>
      <c r="BS326">
        <v>1</v>
      </c>
      <c r="BT326">
        <v>1</v>
      </c>
      <c r="BU326">
        <v>1</v>
      </c>
      <c r="BV326">
        <v>1</v>
      </c>
      <c r="BW326">
        <v>1</v>
      </c>
      <c r="BX326">
        <v>1</v>
      </c>
      <c r="BY326" t="s">
        <v>3</v>
      </c>
      <c r="BZ326">
        <v>70</v>
      </c>
      <c r="CA326">
        <v>10</v>
      </c>
      <c r="CB326" t="s">
        <v>3</v>
      </c>
      <c r="CE326">
        <v>0</v>
      </c>
      <c r="CF326">
        <v>0</v>
      </c>
      <c r="CG326">
        <v>0</v>
      </c>
      <c r="CM326">
        <v>0</v>
      </c>
      <c r="CN326" t="s">
        <v>3</v>
      </c>
      <c r="CO326">
        <v>0</v>
      </c>
      <c r="CP326">
        <f>(P326+Q326+S326)</f>
        <v>33860.100000000006</v>
      </c>
      <c r="CQ326">
        <f>(AC326*BC326*AW326)</f>
        <v>0.31</v>
      </c>
      <c r="CR326">
        <f>((((ET326)*BB326-(EU326)*BS326)+AE326*BS326)*AV326)</f>
        <v>0</v>
      </c>
      <c r="CS326">
        <f>(AE326*BS326*AV326)</f>
        <v>0</v>
      </c>
      <c r="CT326">
        <f>(AF326*BA326*AV326)</f>
        <v>1128.3599999999999</v>
      </c>
      <c r="CU326">
        <f>AG326</f>
        <v>0</v>
      </c>
      <c r="CV326">
        <f>(AH326*AV326)</f>
        <v>1.59</v>
      </c>
      <c r="CW326">
        <f t="shared" ref="CW326:CX328" si="297">AI326</f>
        <v>0</v>
      </c>
      <c r="CX326">
        <f t="shared" si="297"/>
        <v>0</v>
      </c>
      <c r="CY326">
        <f>((S326*BZ326)/100)</f>
        <v>23695.56</v>
      </c>
      <c r="CZ326">
        <f>((S326*CA326)/100)</f>
        <v>3385.08</v>
      </c>
      <c r="DC326" t="s">
        <v>3</v>
      </c>
      <c r="DD326" t="s">
        <v>3</v>
      </c>
      <c r="DE326" t="s">
        <v>3</v>
      </c>
      <c r="DF326" t="s">
        <v>3</v>
      </c>
      <c r="DG326" t="s">
        <v>3</v>
      </c>
      <c r="DH326" t="s">
        <v>3</v>
      </c>
      <c r="DI326" t="s">
        <v>3</v>
      </c>
      <c r="DJ326" t="s">
        <v>3</v>
      </c>
      <c r="DK326" t="s">
        <v>3</v>
      </c>
      <c r="DL326" t="s">
        <v>3</v>
      </c>
      <c r="DM326" t="s">
        <v>3</v>
      </c>
      <c r="DN326">
        <v>0</v>
      </c>
      <c r="DO326">
        <v>0</v>
      </c>
      <c r="DP326">
        <v>1</v>
      </c>
      <c r="DQ326">
        <v>1</v>
      </c>
      <c r="DU326">
        <v>16987630</v>
      </c>
      <c r="DV326" t="s">
        <v>36</v>
      </c>
      <c r="DW326" t="s">
        <v>36</v>
      </c>
      <c r="DX326">
        <v>1</v>
      </c>
      <c r="DZ326" t="s">
        <v>3</v>
      </c>
      <c r="EA326" t="s">
        <v>3</v>
      </c>
      <c r="EB326" t="s">
        <v>3</v>
      </c>
      <c r="EC326" t="s">
        <v>3</v>
      </c>
      <c r="EE326">
        <v>1441815344</v>
      </c>
      <c r="EF326">
        <v>1</v>
      </c>
      <c r="EG326" t="s">
        <v>21</v>
      </c>
      <c r="EH326">
        <v>0</v>
      </c>
      <c r="EI326" t="s">
        <v>3</v>
      </c>
      <c r="EJ326">
        <v>4</v>
      </c>
      <c r="EK326">
        <v>0</v>
      </c>
      <c r="EL326" t="s">
        <v>22</v>
      </c>
      <c r="EM326" t="s">
        <v>23</v>
      </c>
      <c r="EO326" t="s">
        <v>3</v>
      </c>
      <c r="EQ326">
        <v>1836032</v>
      </c>
      <c r="ER326">
        <v>1128.67</v>
      </c>
      <c r="ES326">
        <v>0.31</v>
      </c>
      <c r="ET326">
        <v>0</v>
      </c>
      <c r="EU326">
        <v>0</v>
      </c>
      <c r="EV326">
        <v>1128.3599999999999</v>
      </c>
      <c r="EW326">
        <v>1.59</v>
      </c>
      <c r="EX326">
        <v>0</v>
      </c>
      <c r="EY326">
        <v>0</v>
      </c>
      <c r="FQ326">
        <v>0</v>
      </c>
      <c r="FR326">
        <f>ROUND(IF(BI326=3,GM326,0),2)</f>
        <v>0</v>
      </c>
      <c r="FS326">
        <v>0</v>
      </c>
      <c r="FX326">
        <v>70</v>
      </c>
      <c r="FY326">
        <v>10</v>
      </c>
      <c r="GA326" t="s">
        <v>3</v>
      </c>
      <c r="GD326">
        <v>0</v>
      </c>
      <c r="GF326">
        <v>2029808212</v>
      </c>
      <c r="GG326">
        <v>2</v>
      </c>
      <c r="GH326">
        <v>1</v>
      </c>
      <c r="GI326">
        <v>-2</v>
      </c>
      <c r="GJ326">
        <v>0</v>
      </c>
      <c r="GK326">
        <f>ROUND(R326*(R12)/100,2)</f>
        <v>0</v>
      </c>
      <c r="GL326">
        <f>ROUND(IF(AND(BH326=3,BI326=3,FS326&lt;&gt;0),P326,0),2)</f>
        <v>0</v>
      </c>
      <c r="GM326">
        <f>ROUND(O326+X326+Y326+GK326,2)+GX326</f>
        <v>60940.74</v>
      </c>
      <c r="GN326">
        <f>IF(OR(BI326=0,BI326=1),GM326-GX326,0)</f>
        <v>0</v>
      </c>
      <c r="GO326">
        <f>IF(BI326=2,GM326-GX326,0)</f>
        <v>0</v>
      </c>
      <c r="GP326">
        <f>IF(BI326=4,GM326-GX326,0)</f>
        <v>60940.74</v>
      </c>
      <c r="GR326">
        <v>0</v>
      </c>
      <c r="GS326">
        <v>3</v>
      </c>
      <c r="GT326">
        <v>0</v>
      </c>
      <c r="GU326" t="s">
        <v>3</v>
      </c>
      <c r="GV326">
        <f>ROUND((GT326),6)</f>
        <v>0</v>
      </c>
      <c r="GW326">
        <v>1</v>
      </c>
      <c r="GX326">
        <f>ROUND(HC326*I326,2)</f>
        <v>0</v>
      </c>
      <c r="HA326">
        <v>0</v>
      </c>
      <c r="HB326">
        <v>0</v>
      </c>
      <c r="HC326">
        <f>GV326*GW326</f>
        <v>0</v>
      </c>
      <c r="HE326" t="s">
        <v>3</v>
      </c>
      <c r="HF326" t="s">
        <v>3</v>
      </c>
      <c r="HM326" t="s">
        <v>3</v>
      </c>
      <c r="HN326" t="s">
        <v>3</v>
      </c>
      <c r="HO326" t="s">
        <v>3</v>
      </c>
      <c r="HP326" t="s">
        <v>3</v>
      </c>
      <c r="HQ326" t="s">
        <v>3</v>
      </c>
      <c r="IK326">
        <v>0</v>
      </c>
    </row>
    <row r="327" spans="1:245" x14ac:dyDescent="0.2">
      <c r="A327">
        <v>17</v>
      </c>
      <c r="B327">
        <v>1</v>
      </c>
      <c r="D327">
        <f>ROW(EtalonRes!A179)</f>
        <v>179</v>
      </c>
      <c r="E327" t="s">
        <v>315</v>
      </c>
      <c r="F327" t="s">
        <v>157</v>
      </c>
      <c r="G327" t="s">
        <v>158</v>
      </c>
      <c r="H327" t="s">
        <v>36</v>
      </c>
      <c r="I327">
        <f>ROUND(2*15,9)</f>
        <v>30</v>
      </c>
      <c r="J327">
        <v>0</v>
      </c>
      <c r="K327">
        <f>ROUND(2*15,9)</f>
        <v>30</v>
      </c>
      <c r="O327">
        <f>ROUND(CP327,2)</f>
        <v>2666.4</v>
      </c>
      <c r="P327">
        <f>ROUND(CQ327*I327,2)</f>
        <v>66</v>
      </c>
      <c r="Q327">
        <f>ROUND(CR327*I327,2)</f>
        <v>6.9</v>
      </c>
      <c r="R327">
        <f>ROUND(CS327*I327,2)</f>
        <v>0</v>
      </c>
      <c r="S327">
        <f>ROUND(CT327*I327,2)</f>
        <v>2593.5</v>
      </c>
      <c r="T327">
        <f>ROUND(CU327*I327,2)</f>
        <v>0</v>
      </c>
      <c r="U327">
        <f>CV327*I327</f>
        <v>4.2</v>
      </c>
      <c r="V327">
        <f>CW327*I327</f>
        <v>0</v>
      </c>
      <c r="W327">
        <f>ROUND(CX327*I327,2)</f>
        <v>0</v>
      </c>
      <c r="X327">
        <f t="shared" si="296"/>
        <v>1815.45</v>
      </c>
      <c r="Y327">
        <f t="shared" si="296"/>
        <v>259.35000000000002</v>
      </c>
      <c r="AA327">
        <v>1471718271</v>
      </c>
      <c r="AB327">
        <f>ROUND((AC327+AD327+AF327),6)</f>
        <v>88.88</v>
      </c>
      <c r="AC327">
        <f>ROUND((ES327),6)</f>
        <v>2.2000000000000002</v>
      </c>
      <c r="AD327">
        <f>ROUND((((ET327)-(EU327))+AE327),6)</f>
        <v>0.23</v>
      </c>
      <c r="AE327">
        <f>ROUND((EU327),6)</f>
        <v>0</v>
      </c>
      <c r="AF327">
        <f>ROUND((EV327),6)</f>
        <v>86.45</v>
      </c>
      <c r="AG327">
        <f>ROUND((AP327),6)</f>
        <v>0</v>
      </c>
      <c r="AH327">
        <f>(EW327)</f>
        <v>0.14000000000000001</v>
      </c>
      <c r="AI327">
        <f>(EX327)</f>
        <v>0</v>
      </c>
      <c r="AJ327">
        <f>(AS327)</f>
        <v>0</v>
      </c>
      <c r="AK327">
        <v>88.88</v>
      </c>
      <c r="AL327">
        <v>2.2000000000000002</v>
      </c>
      <c r="AM327">
        <v>0.23</v>
      </c>
      <c r="AN327">
        <v>0</v>
      </c>
      <c r="AO327">
        <v>86.45</v>
      </c>
      <c r="AP327">
        <v>0</v>
      </c>
      <c r="AQ327">
        <v>0.14000000000000001</v>
      </c>
      <c r="AR327">
        <v>0</v>
      </c>
      <c r="AS327">
        <v>0</v>
      </c>
      <c r="AT327">
        <v>70</v>
      </c>
      <c r="AU327">
        <v>10</v>
      </c>
      <c r="AV327">
        <v>1</v>
      </c>
      <c r="AW327">
        <v>1</v>
      </c>
      <c r="AZ327">
        <v>1</v>
      </c>
      <c r="BA327">
        <v>1</v>
      </c>
      <c r="BB327">
        <v>1</v>
      </c>
      <c r="BC327">
        <v>1</v>
      </c>
      <c r="BD327" t="s">
        <v>3</v>
      </c>
      <c r="BE327" t="s">
        <v>3</v>
      </c>
      <c r="BF327" t="s">
        <v>3</v>
      </c>
      <c r="BG327" t="s">
        <v>3</v>
      </c>
      <c r="BH327">
        <v>0</v>
      </c>
      <c r="BI327">
        <v>4</v>
      </c>
      <c r="BJ327" t="s">
        <v>159</v>
      </c>
      <c r="BM327">
        <v>0</v>
      </c>
      <c r="BN327">
        <v>0</v>
      </c>
      <c r="BO327" t="s">
        <v>3</v>
      </c>
      <c r="BP327">
        <v>0</v>
      </c>
      <c r="BQ327">
        <v>1</v>
      </c>
      <c r="BR327">
        <v>0</v>
      </c>
      <c r="BS327">
        <v>1</v>
      </c>
      <c r="BT327">
        <v>1</v>
      </c>
      <c r="BU327">
        <v>1</v>
      </c>
      <c r="BV327">
        <v>1</v>
      </c>
      <c r="BW327">
        <v>1</v>
      </c>
      <c r="BX327">
        <v>1</v>
      </c>
      <c r="BY327" t="s">
        <v>3</v>
      </c>
      <c r="BZ327">
        <v>70</v>
      </c>
      <c r="CA327">
        <v>10</v>
      </c>
      <c r="CB327" t="s">
        <v>3</v>
      </c>
      <c r="CE327">
        <v>0</v>
      </c>
      <c r="CF327">
        <v>0</v>
      </c>
      <c r="CG327">
        <v>0</v>
      </c>
      <c r="CM327">
        <v>0</v>
      </c>
      <c r="CN327" t="s">
        <v>3</v>
      </c>
      <c r="CO327">
        <v>0</v>
      </c>
      <c r="CP327">
        <f>(P327+Q327+S327)</f>
        <v>2666.4</v>
      </c>
      <c r="CQ327">
        <f>(AC327*BC327*AW327)</f>
        <v>2.2000000000000002</v>
      </c>
      <c r="CR327">
        <f>((((ET327)*BB327-(EU327)*BS327)+AE327*BS327)*AV327)</f>
        <v>0.23</v>
      </c>
      <c r="CS327">
        <f>(AE327*BS327*AV327)</f>
        <v>0</v>
      </c>
      <c r="CT327">
        <f>(AF327*BA327*AV327)</f>
        <v>86.45</v>
      </c>
      <c r="CU327">
        <f>AG327</f>
        <v>0</v>
      </c>
      <c r="CV327">
        <f>(AH327*AV327)</f>
        <v>0.14000000000000001</v>
      </c>
      <c r="CW327">
        <f t="shared" si="297"/>
        <v>0</v>
      </c>
      <c r="CX327">
        <f t="shared" si="297"/>
        <v>0</v>
      </c>
      <c r="CY327">
        <f>((S327*BZ327)/100)</f>
        <v>1815.45</v>
      </c>
      <c r="CZ327">
        <f>((S327*CA327)/100)</f>
        <v>259.35000000000002</v>
      </c>
      <c r="DC327" t="s">
        <v>3</v>
      </c>
      <c r="DD327" t="s">
        <v>3</v>
      </c>
      <c r="DE327" t="s">
        <v>3</v>
      </c>
      <c r="DF327" t="s">
        <v>3</v>
      </c>
      <c r="DG327" t="s">
        <v>3</v>
      </c>
      <c r="DH327" t="s">
        <v>3</v>
      </c>
      <c r="DI327" t="s">
        <v>3</v>
      </c>
      <c r="DJ327" t="s">
        <v>3</v>
      </c>
      <c r="DK327" t="s">
        <v>3</v>
      </c>
      <c r="DL327" t="s">
        <v>3</v>
      </c>
      <c r="DM327" t="s">
        <v>3</v>
      </c>
      <c r="DN327">
        <v>0</v>
      </c>
      <c r="DO327">
        <v>0</v>
      </c>
      <c r="DP327">
        <v>1</v>
      </c>
      <c r="DQ327">
        <v>1</v>
      </c>
      <c r="DU327">
        <v>16987630</v>
      </c>
      <c r="DV327" t="s">
        <v>36</v>
      </c>
      <c r="DW327" t="s">
        <v>36</v>
      </c>
      <c r="DX327">
        <v>1</v>
      </c>
      <c r="DZ327" t="s">
        <v>3</v>
      </c>
      <c r="EA327" t="s">
        <v>3</v>
      </c>
      <c r="EB327" t="s">
        <v>3</v>
      </c>
      <c r="EC327" t="s">
        <v>3</v>
      </c>
      <c r="EE327">
        <v>1441815344</v>
      </c>
      <c r="EF327">
        <v>1</v>
      </c>
      <c r="EG327" t="s">
        <v>21</v>
      </c>
      <c r="EH327">
        <v>0</v>
      </c>
      <c r="EI327" t="s">
        <v>3</v>
      </c>
      <c r="EJ327">
        <v>4</v>
      </c>
      <c r="EK327">
        <v>0</v>
      </c>
      <c r="EL327" t="s">
        <v>22</v>
      </c>
      <c r="EM327" t="s">
        <v>23</v>
      </c>
      <c r="EO327" t="s">
        <v>3</v>
      </c>
      <c r="EQ327">
        <v>0</v>
      </c>
      <c r="ER327">
        <v>88.88</v>
      </c>
      <c r="ES327">
        <v>2.2000000000000002</v>
      </c>
      <c r="ET327">
        <v>0.23</v>
      </c>
      <c r="EU327">
        <v>0</v>
      </c>
      <c r="EV327">
        <v>86.45</v>
      </c>
      <c r="EW327">
        <v>0.14000000000000001</v>
      </c>
      <c r="EX327">
        <v>0</v>
      </c>
      <c r="EY327">
        <v>0</v>
      </c>
      <c r="FQ327">
        <v>0</v>
      </c>
      <c r="FR327">
        <f>ROUND(IF(BI327=3,GM327,0),2)</f>
        <v>0</v>
      </c>
      <c r="FS327">
        <v>0</v>
      </c>
      <c r="FX327">
        <v>70</v>
      </c>
      <c r="FY327">
        <v>10</v>
      </c>
      <c r="GA327" t="s">
        <v>3</v>
      </c>
      <c r="GD327">
        <v>0</v>
      </c>
      <c r="GF327">
        <v>-129403832</v>
      </c>
      <c r="GG327">
        <v>2</v>
      </c>
      <c r="GH327">
        <v>1</v>
      </c>
      <c r="GI327">
        <v>-2</v>
      </c>
      <c r="GJ327">
        <v>0</v>
      </c>
      <c r="GK327">
        <f>ROUND(R327*(R12)/100,2)</f>
        <v>0</v>
      </c>
      <c r="GL327">
        <f>ROUND(IF(AND(BH327=3,BI327=3,FS327&lt;&gt;0),P327,0),2)</f>
        <v>0</v>
      </c>
      <c r="GM327">
        <f>ROUND(O327+X327+Y327+GK327,2)+GX327</f>
        <v>4741.2</v>
      </c>
      <c r="GN327">
        <f>IF(OR(BI327=0,BI327=1),GM327-GX327,0)</f>
        <v>0</v>
      </c>
      <c r="GO327">
        <f>IF(BI327=2,GM327-GX327,0)</f>
        <v>0</v>
      </c>
      <c r="GP327">
        <f>IF(BI327=4,GM327-GX327,0)</f>
        <v>4741.2</v>
      </c>
      <c r="GR327">
        <v>0</v>
      </c>
      <c r="GS327">
        <v>3</v>
      </c>
      <c r="GT327">
        <v>0</v>
      </c>
      <c r="GU327" t="s">
        <v>3</v>
      </c>
      <c r="GV327">
        <f>ROUND((GT327),6)</f>
        <v>0</v>
      </c>
      <c r="GW327">
        <v>1</v>
      </c>
      <c r="GX327">
        <f>ROUND(HC327*I327,2)</f>
        <v>0</v>
      </c>
      <c r="HA327">
        <v>0</v>
      </c>
      <c r="HB327">
        <v>0</v>
      </c>
      <c r="HC327">
        <f>GV327*GW327</f>
        <v>0</v>
      </c>
      <c r="HE327" t="s">
        <v>3</v>
      </c>
      <c r="HF327" t="s">
        <v>3</v>
      </c>
      <c r="HM327" t="s">
        <v>3</v>
      </c>
      <c r="HN327" t="s">
        <v>3</v>
      </c>
      <c r="HO327" t="s">
        <v>3</v>
      </c>
      <c r="HP327" t="s">
        <v>3</v>
      </c>
      <c r="HQ327" t="s">
        <v>3</v>
      </c>
      <c r="IK327">
        <v>0</v>
      </c>
    </row>
    <row r="328" spans="1:245" x14ac:dyDescent="0.2">
      <c r="A328">
        <v>17</v>
      </c>
      <c r="B328">
        <v>1</v>
      </c>
      <c r="D328">
        <f>ROW(EtalonRes!A180)</f>
        <v>180</v>
      </c>
      <c r="E328" t="s">
        <v>3</v>
      </c>
      <c r="F328" t="s">
        <v>160</v>
      </c>
      <c r="G328" t="s">
        <v>161</v>
      </c>
      <c r="H328" t="s">
        <v>31</v>
      </c>
      <c r="I328">
        <f>ROUND(2*15/10,9)</f>
        <v>3</v>
      </c>
      <c r="J328">
        <v>0</v>
      </c>
      <c r="K328">
        <f>ROUND(2*15/10,9)</f>
        <v>3</v>
      </c>
      <c r="O328">
        <f>ROUND(CP328,2)</f>
        <v>1870.29</v>
      </c>
      <c r="P328">
        <f>ROUND(CQ328*I328,2)</f>
        <v>0</v>
      </c>
      <c r="Q328">
        <f>ROUND(CR328*I328,2)</f>
        <v>0</v>
      </c>
      <c r="R328">
        <f>ROUND(CS328*I328,2)</f>
        <v>0</v>
      </c>
      <c r="S328">
        <f>ROUND(CT328*I328,2)</f>
        <v>1870.29</v>
      </c>
      <c r="T328">
        <f>ROUND(CU328*I328,2)</f>
        <v>0</v>
      </c>
      <c r="U328">
        <f>CV328*I328</f>
        <v>3.69</v>
      </c>
      <c r="V328">
        <f>CW328*I328</f>
        <v>0</v>
      </c>
      <c r="W328">
        <f>ROUND(CX328*I328,2)</f>
        <v>0</v>
      </c>
      <c r="X328">
        <f t="shared" si="296"/>
        <v>1309.2</v>
      </c>
      <c r="Y328">
        <f t="shared" si="296"/>
        <v>187.03</v>
      </c>
      <c r="AA328">
        <v>-1</v>
      </c>
      <c r="AB328">
        <f>ROUND((AC328+AD328+AF328),6)</f>
        <v>623.42999999999995</v>
      </c>
      <c r="AC328">
        <f>ROUND(((ES328*3)),6)</f>
        <v>0</v>
      </c>
      <c r="AD328">
        <f>ROUND(((((ET328*3))-((EU328*3)))+AE328),6)</f>
        <v>0</v>
      </c>
      <c r="AE328">
        <f>ROUND(((EU328*3)),6)</f>
        <v>0</v>
      </c>
      <c r="AF328">
        <f>ROUND(((EV328*3)),6)</f>
        <v>623.42999999999995</v>
      </c>
      <c r="AG328">
        <f>ROUND((AP328),6)</f>
        <v>0</v>
      </c>
      <c r="AH328">
        <f>((EW328*3))</f>
        <v>1.23</v>
      </c>
      <c r="AI328">
        <f>((EX328*3))</f>
        <v>0</v>
      </c>
      <c r="AJ328">
        <f>(AS328)</f>
        <v>0</v>
      </c>
      <c r="AK328">
        <v>207.81</v>
      </c>
      <c r="AL328">
        <v>0</v>
      </c>
      <c r="AM328">
        <v>0</v>
      </c>
      <c r="AN328">
        <v>0</v>
      </c>
      <c r="AO328">
        <v>207.81</v>
      </c>
      <c r="AP328">
        <v>0</v>
      </c>
      <c r="AQ328">
        <v>0.41</v>
      </c>
      <c r="AR328">
        <v>0</v>
      </c>
      <c r="AS328">
        <v>0</v>
      </c>
      <c r="AT328">
        <v>70</v>
      </c>
      <c r="AU328">
        <v>10</v>
      </c>
      <c r="AV328">
        <v>1</v>
      </c>
      <c r="AW328">
        <v>1</v>
      </c>
      <c r="AZ328">
        <v>1</v>
      </c>
      <c r="BA328">
        <v>1</v>
      </c>
      <c r="BB328">
        <v>1</v>
      </c>
      <c r="BC328">
        <v>1</v>
      </c>
      <c r="BD328" t="s">
        <v>3</v>
      </c>
      <c r="BE328" t="s">
        <v>3</v>
      </c>
      <c r="BF328" t="s">
        <v>3</v>
      </c>
      <c r="BG328" t="s">
        <v>3</v>
      </c>
      <c r="BH328">
        <v>0</v>
      </c>
      <c r="BI328">
        <v>4</v>
      </c>
      <c r="BJ328" t="s">
        <v>162</v>
      </c>
      <c r="BM328">
        <v>0</v>
      </c>
      <c r="BN328">
        <v>0</v>
      </c>
      <c r="BO328" t="s">
        <v>3</v>
      </c>
      <c r="BP328">
        <v>0</v>
      </c>
      <c r="BQ328">
        <v>1</v>
      </c>
      <c r="BR328">
        <v>0</v>
      </c>
      <c r="BS328">
        <v>1</v>
      </c>
      <c r="BT328">
        <v>1</v>
      </c>
      <c r="BU328">
        <v>1</v>
      </c>
      <c r="BV328">
        <v>1</v>
      </c>
      <c r="BW328">
        <v>1</v>
      </c>
      <c r="BX328">
        <v>1</v>
      </c>
      <c r="BY328" t="s">
        <v>3</v>
      </c>
      <c r="BZ328">
        <v>70</v>
      </c>
      <c r="CA328">
        <v>10</v>
      </c>
      <c r="CB328" t="s">
        <v>3</v>
      </c>
      <c r="CE328">
        <v>0</v>
      </c>
      <c r="CF328">
        <v>0</v>
      </c>
      <c r="CG328">
        <v>0</v>
      </c>
      <c r="CM328">
        <v>0</v>
      </c>
      <c r="CN328" t="s">
        <v>3</v>
      </c>
      <c r="CO328">
        <v>0</v>
      </c>
      <c r="CP328">
        <f>(P328+Q328+S328)</f>
        <v>1870.29</v>
      </c>
      <c r="CQ328">
        <f>(AC328*BC328*AW328)</f>
        <v>0</v>
      </c>
      <c r="CR328">
        <f>(((((ET328*3))*BB328-((EU328*3))*BS328)+AE328*BS328)*AV328)</f>
        <v>0</v>
      </c>
      <c r="CS328">
        <f>(AE328*BS328*AV328)</f>
        <v>0</v>
      </c>
      <c r="CT328">
        <f>(AF328*BA328*AV328)</f>
        <v>623.42999999999995</v>
      </c>
      <c r="CU328">
        <f>AG328</f>
        <v>0</v>
      </c>
      <c r="CV328">
        <f>(AH328*AV328)</f>
        <v>1.23</v>
      </c>
      <c r="CW328">
        <f t="shared" si="297"/>
        <v>0</v>
      </c>
      <c r="CX328">
        <f t="shared" si="297"/>
        <v>0</v>
      </c>
      <c r="CY328">
        <f>((S328*BZ328)/100)</f>
        <v>1309.203</v>
      </c>
      <c r="CZ328">
        <f>((S328*CA328)/100)</f>
        <v>187.02900000000002</v>
      </c>
      <c r="DC328" t="s">
        <v>3</v>
      </c>
      <c r="DD328" t="s">
        <v>163</v>
      </c>
      <c r="DE328" t="s">
        <v>163</v>
      </c>
      <c r="DF328" t="s">
        <v>163</v>
      </c>
      <c r="DG328" t="s">
        <v>163</v>
      </c>
      <c r="DH328" t="s">
        <v>3</v>
      </c>
      <c r="DI328" t="s">
        <v>163</v>
      </c>
      <c r="DJ328" t="s">
        <v>163</v>
      </c>
      <c r="DK328" t="s">
        <v>3</v>
      </c>
      <c r="DL328" t="s">
        <v>3</v>
      </c>
      <c r="DM328" t="s">
        <v>3</v>
      </c>
      <c r="DN328">
        <v>0</v>
      </c>
      <c r="DO328">
        <v>0</v>
      </c>
      <c r="DP328">
        <v>1</v>
      </c>
      <c r="DQ328">
        <v>1</v>
      </c>
      <c r="DU328">
        <v>16987630</v>
      </c>
      <c r="DV328" t="s">
        <v>31</v>
      </c>
      <c r="DW328" t="s">
        <v>31</v>
      </c>
      <c r="DX328">
        <v>10</v>
      </c>
      <c r="DZ328" t="s">
        <v>3</v>
      </c>
      <c r="EA328" t="s">
        <v>3</v>
      </c>
      <c r="EB328" t="s">
        <v>3</v>
      </c>
      <c r="EC328" t="s">
        <v>3</v>
      </c>
      <c r="EE328">
        <v>1441815344</v>
      </c>
      <c r="EF328">
        <v>1</v>
      </c>
      <c r="EG328" t="s">
        <v>21</v>
      </c>
      <c r="EH328">
        <v>0</v>
      </c>
      <c r="EI328" t="s">
        <v>3</v>
      </c>
      <c r="EJ328">
        <v>4</v>
      </c>
      <c r="EK328">
        <v>0</v>
      </c>
      <c r="EL328" t="s">
        <v>22</v>
      </c>
      <c r="EM328" t="s">
        <v>23</v>
      </c>
      <c r="EO328" t="s">
        <v>3</v>
      </c>
      <c r="EQ328">
        <v>1024</v>
      </c>
      <c r="ER328">
        <v>207.81</v>
      </c>
      <c r="ES328">
        <v>0</v>
      </c>
      <c r="ET328">
        <v>0</v>
      </c>
      <c r="EU328">
        <v>0</v>
      </c>
      <c r="EV328">
        <v>207.81</v>
      </c>
      <c r="EW328">
        <v>0.41</v>
      </c>
      <c r="EX328">
        <v>0</v>
      </c>
      <c r="EY328">
        <v>0</v>
      </c>
      <c r="FQ328">
        <v>0</v>
      </c>
      <c r="FR328">
        <f>ROUND(IF(BI328=3,GM328,0),2)</f>
        <v>0</v>
      </c>
      <c r="FS328">
        <v>0</v>
      </c>
      <c r="FX328">
        <v>70</v>
      </c>
      <c r="FY328">
        <v>10</v>
      </c>
      <c r="GA328" t="s">
        <v>3</v>
      </c>
      <c r="GD328">
        <v>0</v>
      </c>
      <c r="GF328">
        <v>1497006217</v>
      </c>
      <c r="GG328">
        <v>2</v>
      </c>
      <c r="GH328">
        <v>1</v>
      </c>
      <c r="GI328">
        <v>-2</v>
      </c>
      <c r="GJ328">
        <v>0</v>
      </c>
      <c r="GK328">
        <f>ROUND(R328*(R12)/100,2)</f>
        <v>0</v>
      </c>
      <c r="GL328">
        <f>ROUND(IF(AND(BH328=3,BI328=3,FS328&lt;&gt;0),P328,0),2)</f>
        <v>0</v>
      </c>
      <c r="GM328">
        <f>ROUND(O328+X328+Y328+GK328,2)+GX328</f>
        <v>3366.52</v>
      </c>
      <c r="GN328">
        <f>IF(OR(BI328=0,BI328=1),GM328-GX328,0)</f>
        <v>0</v>
      </c>
      <c r="GO328">
        <f>IF(BI328=2,GM328-GX328,0)</f>
        <v>0</v>
      </c>
      <c r="GP328">
        <f>IF(BI328=4,GM328-GX328,0)</f>
        <v>3366.52</v>
      </c>
      <c r="GR328">
        <v>0</v>
      </c>
      <c r="GS328">
        <v>3</v>
      </c>
      <c r="GT328">
        <v>0</v>
      </c>
      <c r="GU328" t="s">
        <v>3</v>
      </c>
      <c r="GV328">
        <f>ROUND((GT328),6)</f>
        <v>0</v>
      </c>
      <c r="GW328">
        <v>1</v>
      </c>
      <c r="GX328">
        <f>ROUND(HC328*I328,2)</f>
        <v>0</v>
      </c>
      <c r="HA328">
        <v>0</v>
      </c>
      <c r="HB328">
        <v>0</v>
      </c>
      <c r="HC328">
        <f>GV328*GW328</f>
        <v>0</v>
      </c>
      <c r="HE328" t="s">
        <v>3</v>
      </c>
      <c r="HF328" t="s">
        <v>3</v>
      </c>
      <c r="HM328" t="s">
        <v>3</v>
      </c>
      <c r="HN328" t="s">
        <v>3</v>
      </c>
      <c r="HO328" t="s">
        <v>3</v>
      </c>
      <c r="HP328" t="s">
        <v>3</v>
      </c>
      <c r="HQ328" t="s">
        <v>3</v>
      </c>
      <c r="IK328">
        <v>0</v>
      </c>
    </row>
    <row r="330" spans="1:245" x14ac:dyDescent="0.2">
      <c r="A330" s="2">
        <v>51</v>
      </c>
      <c r="B330" s="2">
        <f>B322</f>
        <v>1</v>
      </c>
      <c r="C330" s="2">
        <f>A322</f>
        <v>5</v>
      </c>
      <c r="D330" s="2">
        <f>ROW(A322)</f>
        <v>322</v>
      </c>
      <c r="E330" s="2"/>
      <c r="F330" s="2" t="str">
        <f>IF(F322&lt;&gt;"",F322,"")</f>
        <v>Новый подраздел</v>
      </c>
      <c r="G330" s="2" t="str">
        <f>IF(G322&lt;&gt;"",G322,"")</f>
        <v>Отопление</v>
      </c>
      <c r="H330" s="2">
        <v>0</v>
      </c>
      <c r="I330" s="2"/>
      <c r="J330" s="2"/>
      <c r="K330" s="2"/>
      <c r="L330" s="2"/>
      <c r="M330" s="2"/>
      <c r="N330" s="2"/>
      <c r="O330" s="2">
        <f t="shared" ref="O330:T330" si="298">ROUND(AB330,2)</f>
        <v>2666.4</v>
      </c>
      <c r="P330" s="2">
        <f t="shared" si="298"/>
        <v>66</v>
      </c>
      <c r="Q330" s="2">
        <f t="shared" si="298"/>
        <v>6.9</v>
      </c>
      <c r="R330" s="2">
        <f t="shared" si="298"/>
        <v>0</v>
      </c>
      <c r="S330" s="2">
        <f t="shared" si="298"/>
        <v>2593.5</v>
      </c>
      <c r="T330" s="2">
        <f t="shared" si="298"/>
        <v>0</v>
      </c>
      <c r="U330" s="2">
        <f>AH330</f>
        <v>4.2</v>
      </c>
      <c r="V330" s="2">
        <f>AI330</f>
        <v>0</v>
      </c>
      <c r="W330" s="2">
        <f>ROUND(AJ330,2)</f>
        <v>0</v>
      </c>
      <c r="X330" s="2">
        <f>ROUND(AK330,2)</f>
        <v>1815.45</v>
      </c>
      <c r="Y330" s="2">
        <f>ROUND(AL330,2)</f>
        <v>259.35000000000002</v>
      </c>
      <c r="Z330" s="2"/>
      <c r="AA330" s="2"/>
      <c r="AB330" s="2">
        <f>ROUND(SUMIF(AA326:AA328,"=1471718271",O326:O328),2)</f>
        <v>2666.4</v>
      </c>
      <c r="AC330" s="2">
        <f>ROUND(SUMIF(AA326:AA328,"=1471718271",P326:P328),2)</f>
        <v>66</v>
      </c>
      <c r="AD330" s="2">
        <f>ROUND(SUMIF(AA326:AA328,"=1471718271",Q326:Q328),2)</f>
        <v>6.9</v>
      </c>
      <c r="AE330" s="2">
        <f>ROUND(SUMIF(AA326:AA328,"=1471718271",R326:R328),2)</f>
        <v>0</v>
      </c>
      <c r="AF330" s="2">
        <f>ROUND(SUMIF(AA326:AA328,"=1471718271",S326:S328),2)</f>
        <v>2593.5</v>
      </c>
      <c r="AG330" s="2">
        <f>ROUND(SUMIF(AA326:AA328,"=1471718271",T326:T328),2)</f>
        <v>0</v>
      </c>
      <c r="AH330" s="2">
        <f>SUMIF(AA326:AA328,"=1471718271",U326:U328)</f>
        <v>4.2</v>
      </c>
      <c r="AI330" s="2">
        <f>SUMIF(AA326:AA328,"=1471718271",V326:V328)</f>
        <v>0</v>
      </c>
      <c r="AJ330" s="2">
        <f>ROUND(SUMIF(AA326:AA328,"=1471718271",W326:W328),2)</f>
        <v>0</v>
      </c>
      <c r="AK330" s="2">
        <f>ROUND(SUMIF(AA326:AA328,"=1471718271",X326:X328),2)</f>
        <v>1815.45</v>
      </c>
      <c r="AL330" s="2">
        <f>ROUND(SUMIF(AA326:AA328,"=1471718271",Y326:Y328),2)</f>
        <v>259.35000000000002</v>
      </c>
      <c r="AM330" s="2"/>
      <c r="AN330" s="2"/>
      <c r="AO330" s="2">
        <f t="shared" ref="AO330:BD330" si="299">ROUND(BX330,2)</f>
        <v>0</v>
      </c>
      <c r="AP330" s="2">
        <f t="shared" si="299"/>
        <v>0</v>
      </c>
      <c r="AQ330" s="2">
        <f t="shared" si="299"/>
        <v>0</v>
      </c>
      <c r="AR330" s="2">
        <f t="shared" si="299"/>
        <v>4741.2</v>
      </c>
      <c r="AS330" s="2">
        <f t="shared" si="299"/>
        <v>0</v>
      </c>
      <c r="AT330" s="2">
        <f t="shared" si="299"/>
        <v>0</v>
      </c>
      <c r="AU330" s="2">
        <f t="shared" si="299"/>
        <v>4741.2</v>
      </c>
      <c r="AV330" s="2">
        <f t="shared" si="299"/>
        <v>66</v>
      </c>
      <c r="AW330" s="2">
        <f t="shared" si="299"/>
        <v>66</v>
      </c>
      <c r="AX330" s="2">
        <f t="shared" si="299"/>
        <v>0</v>
      </c>
      <c r="AY330" s="2">
        <f t="shared" si="299"/>
        <v>66</v>
      </c>
      <c r="AZ330" s="2">
        <f t="shared" si="299"/>
        <v>0</v>
      </c>
      <c r="BA330" s="2">
        <f t="shared" si="299"/>
        <v>0</v>
      </c>
      <c r="BB330" s="2">
        <f t="shared" si="299"/>
        <v>0</v>
      </c>
      <c r="BC330" s="2">
        <f t="shared" si="299"/>
        <v>0</v>
      </c>
      <c r="BD330" s="2">
        <f t="shared" si="299"/>
        <v>0</v>
      </c>
      <c r="BE330" s="2"/>
      <c r="BF330" s="2"/>
      <c r="BG330" s="2"/>
      <c r="BH330" s="2"/>
      <c r="BI330" s="2"/>
      <c r="BJ330" s="2"/>
      <c r="BK330" s="2"/>
      <c r="BL330" s="2"/>
      <c r="BM330" s="2"/>
      <c r="BN330" s="2"/>
      <c r="BO330" s="2"/>
      <c r="BP330" s="2"/>
      <c r="BQ330" s="2"/>
      <c r="BR330" s="2"/>
      <c r="BS330" s="2"/>
      <c r="BT330" s="2"/>
      <c r="BU330" s="2"/>
      <c r="BV330" s="2"/>
      <c r="BW330" s="2"/>
      <c r="BX330" s="2">
        <f>ROUND(SUMIF(AA326:AA328,"=1471718271",FQ326:FQ328),2)</f>
        <v>0</v>
      </c>
      <c r="BY330" s="2">
        <f>ROUND(SUMIF(AA326:AA328,"=1471718271",FR326:FR328),2)</f>
        <v>0</v>
      </c>
      <c r="BZ330" s="2">
        <f>ROUND(SUMIF(AA326:AA328,"=1471718271",GL326:GL328),2)</f>
        <v>0</v>
      </c>
      <c r="CA330" s="2">
        <f>ROUND(SUMIF(AA326:AA328,"=1471718271",GM326:GM328),2)</f>
        <v>4741.2</v>
      </c>
      <c r="CB330" s="2">
        <f>ROUND(SUMIF(AA326:AA328,"=1471718271",GN326:GN328),2)</f>
        <v>0</v>
      </c>
      <c r="CC330" s="2">
        <f>ROUND(SUMIF(AA326:AA328,"=1471718271",GO326:GO328),2)</f>
        <v>0</v>
      </c>
      <c r="CD330" s="2">
        <f>ROUND(SUMIF(AA326:AA328,"=1471718271",GP326:GP328),2)</f>
        <v>4741.2</v>
      </c>
      <c r="CE330" s="2">
        <f>AC330-BX330</f>
        <v>66</v>
      </c>
      <c r="CF330" s="2">
        <f>AC330-BY330</f>
        <v>66</v>
      </c>
      <c r="CG330" s="2">
        <f>BX330-BZ330</f>
        <v>0</v>
      </c>
      <c r="CH330" s="2">
        <f>AC330-BX330-BY330+BZ330</f>
        <v>66</v>
      </c>
      <c r="CI330" s="2">
        <f>BY330-BZ330</f>
        <v>0</v>
      </c>
      <c r="CJ330" s="2">
        <f>ROUND(SUMIF(AA326:AA328,"=1471718271",GX326:GX328),2)</f>
        <v>0</v>
      </c>
      <c r="CK330" s="2">
        <f>ROUND(SUMIF(AA326:AA328,"=1471718271",GY326:GY328),2)</f>
        <v>0</v>
      </c>
      <c r="CL330" s="2">
        <f>ROUND(SUMIF(AA326:AA328,"=1471718271",GZ326:GZ328),2)</f>
        <v>0</v>
      </c>
      <c r="CM330" s="2">
        <f>ROUND(SUMIF(AA326:AA328,"=1471718271",HD326:HD328),2)</f>
        <v>0</v>
      </c>
      <c r="CN330" s="2"/>
      <c r="CO330" s="2"/>
      <c r="CP330" s="2"/>
      <c r="CQ330" s="2"/>
      <c r="CR330" s="2"/>
      <c r="CS330" s="2"/>
      <c r="CT330" s="2"/>
      <c r="CU330" s="2"/>
      <c r="CV330" s="2"/>
      <c r="CW330" s="2"/>
      <c r="CX330" s="2"/>
      <c r="CY330" s="2"/>
      <c r="CZ330" s="2"/>
      <c r="DA330" s="2"/>
      <c r="DB330" s="2"/>
      <c r="DC330" s="2"/>
      <c r="DD330" s="2"/>
      <c r="DE330" s="2"/>
      <c r="DF330" s="2"/>
      <c r="DG330" s="3"/>
      <c r="DH330" s="3"/>
      <c r="DI330" s="3"/>
      <c r="DJ330" s="3"/>
      <c r="DK330" s="3"/>
      <c r="DL330" s="3"/>
      <c r="DM330" s="3"/>
      <c r="DN330" s="3"/>
      <c r="DO330" s="3"/>
      <c r="DP330" s="3"/>
      <c r="DQ330" s="3"/>
      <c r="DR330" s="3"/>
      <c r="DS330" s="3"/>
      <c r="DT330" s="3"/>
      <c r="DU330" s="3"/>
      <c r="DV330" s="3"/>
      <c r="DW330" s="3"/>
      <c r="DX330" s="3"/>
      <c r="DY330" s="3"/>
      <c r="DZ330" s="3"/>
      <c r="EA330" s="3"/>
      <c r="EB330" s="3"/>
      <c r="EC330" s="3"/>
      <c r="ED330" s="3"/>
      <c r="EE330" s="3"/>
      <c r="EF330" s="3"/>
      <c r="EG330" s="3"/>
      <c r="EH330" s="3"/>
      <c r="EI330" s="3"/>
      <c r="EJ330" s="3"/>
      <c r="EK330" s="3"/>
      <c r="EL330" s="3"/>
      <c r="EM330" s="3"/>
      <c r="EN330" s="3"/>
      <c r="EO330" s="3"/>
      <c r="EP330" s="3"/>
      <c r="EQ330" s="3"/>
      <c r="ER330" s="3"/>
      <c r="ES330" s="3"/>
      <c r="ET330" s="3"/>
      <c r="EU330" s="3"/>
      <c r="EV330" s="3"/>
      <c r="EW330" s="3"/>
      <c r="EX330" s="3"/>
      <c r="EY330" s="3"/>
      <c r="EZ330" s="3"/>
      <c r="FA330" s="3"/>
      <c r="FB330" s="3"/>
      <c r="FC330" s="3"/>
      <c r="FD330" s="3"/>
      <c r="FE330" s="3"/>
      <c r="FF330" s="3"/>
      <c r="FG330" s="3"/>
      <c r="FH330" s="3"/>
      <c r="FI330" s="3"/>
      <c r="FJ330" s="3"/>
      <c r="FK330" s="3"/>
      <c r="FL330" s="3"/>
      <c r="FM330" s="3"/>
      <c r="FN330" s="3"/>
      <c r="FO330" s="3"/>
      <c r="FP330" s="3"/>
      <c r="FQ330" s="3"/>
      <c r="FR330" s="3"/>
      <c r="FS330" s="3"/>
      <c r="FT330" s="3"/>
      <c r="FU330" s="3"/>
      <c r="FV330" s="3"/>
      <c r="FW330" s="3"/>
      <c r="FX330" s="3"/>
      <c r="FY330" s="3"/>
      <c r="FZ330" s="3"/>
      <c r="GA330" s="3"/>
      <c r="GB330" s="3"/>
      <c r="GC330" s="3"/>
      <c r="GD330" s="3"/>
      <c r="GE330" s="3"/>
      <c r="GF330" s="3"/>
      <c r="GG330" s="3"/>
      <c r="GH330" s="3"/>
      <c r="GI330" s="3"/>
      <c r="GJ330" s="3"/>
      <c r="GK330" s="3"/>
      <c r="GL330" s="3"/>
      <c r="GM330" s="3"/>
      <c r="GN330" s="3"/>
      <c r="GO330" s="3"/>
      <c r="GP330" s="3"/>
      <c r="GQ330" s="3"/>
      <c r="GR330" s="3"/>
      <c r="GS330" s="3"/>
      <c r="GT330" s="3"/>
      <c r="GU330" s="3"/>
      <c r="GV330" s="3"/>
      <c r="GW330" s="3"/>
      <c r="GX330" s="3">
        <v>0</v>
      </c>
    </row>
    <row r="332" spans="1:245" x14ac:dyDescent="0.2">
      <c r="A332" s="4">
        <v>50</v>
      </c>
      <c r="B332" s="4">
        <v>0</v>
      </c>
      <c r="C332" s="4">
        <v>0</v>
      </c>
      <c r="D332" s="4">
        <v>1</v>
      </c>
      <c r="E332" s="4">
        <v>201</v>
      </c>
      <c r="F332" s="4">
        <f>ROUND(Source!O330,O332)</f>
        <v>2666.4</v>
      </c>
      <c r="G332" s="4" t="s">
        <v>98</v>
      </c>
      <c r="H332" s="4" t="s">
        <v>99</v>
      </c>
      <c r="I332" s="4"/>
      <c r="J332" s="4"/>
      <c r="K332" s="4">
        <v>201</v>
      </c>
      <c r="L332" s="4">
        <v>1</v>
      </c>
      <c r="M332" s="4">
        <v>3</v>
      </c>
      <c r="N332" s="4" t="s">
        <v>3</v>
      </c>
      <c r="O332" s="4">
        <v>2</v>
      </c>
      <c r="P332" s="4"/>
      <c r="Q332" s="4"/>
      <c r="R332" s="4"/>
      <c r="S332" s="4"/>
      <c r="T332" s="4"/>
      <c r="U332" s="4"/>
      <c r="V332" s="4"/>
      <c r="W332" s="4">
        <v>2666.4</v>
      </c>
      <c r="X332" s="4">
        <v>1</v>
      </c>
      <c r="Y332" s="4">
        <v>2666.4</v>
      </c>
      <c r="Z332" s="4"/>
      <c r="AA332" s="4"/>
      <c r="AB332" s="4"/>
    </row>
    <row r="333" spans="1:245" x14ac:dyDescent="0.2">
      <c r="A333" s="4">
        <v>50</v>
      </c>
      <c r="B333" s="4">
        <v>0</v>
      </c>
      <c r="C333" s="4">
        <v>0</v>
      </c>
      <c r="D333" s="4">
        <v>1</v>
      </c>
      <c r="E333" s="4">
        <v>202</v>
      </c>
      <c r="F333" s="4">
        <f>ROUND(Source!P330,O333)</f>
        <v>66</v>
      </c>
      <c r="G333" s="4" t="s">
        <v>100</v>
      </c>
      <c r="H333" s="4" t="s">
        <v>101</v>
      </c>
      <c r="I333" s="4"/>
      <c r="J333" s="4"/>
      <c r="K333" s="4">
        <v>202</v>
      </c>
      <c r="L333" s="4">
        <v>2</v>
      </c>
      <c r="M333" s="4">
        <v>3</v>
      </c>
      <c r="N333" s="4" t="s">
        <v>3</v>
      </c>
      <c r="O333" s="4">
        <v>2</v>
      </c>
      <c r="P333" s="4"/>
      <c r="Q333" s="4"/>
      <c r="R333" s="4"/>
      <c r="S333" s="4"/>
      <c r="T333" s="4"/>
      <c r="U333" s="4"/>
      <c r="V333" s="4"/>
      <c r="W333" s="4">
        <v>66</v>
      </c>
      <c r="X333" s="4">
        <v>1</v>
      </c>
      <c r="Y333" s="4">
        <v>66</v>
      </c>
      <c r="Z333" s="4"/>
      <c r="AA333" s="4"/>
      <c r="AB333" s="4"/>
    </row>
    <row r="334" spans="1:245" x14ac:dyDescent="0.2">
      <c r="A334" s="4">
        <v>50</v>
      </c>
      <c r="B334" s="4">
        <v>0</v>
      </c>
      <c r="C334" s="4">
        <v>0</v>
      </c>
      <c r="D334" s="4">
        <v>1</v>
      </c>
      <c r="E334" s="4">
        <v>222</v>
      </c>
      <c r="F334" s="4">
        <f>ROUND(Source!AO330,O334)</f>
        <v>0</v>
      </c>
      <c r="G334" s="4" t="s">
        <v>102</v>
      </c>
      <c r="H334" s="4" t="s">
        <v>103</v>
      </c>
      <c r="I334" s="4"/>
      <c r="J334" s="4"/>
      <c r="K334" s="4">
        <v>222</v>
      </c>
      <c r="L334" s="4">
        <v>3</v>
      </c>
      <c r="M334" s="4">
        <v>3</v>
      </c>
      <c r="N334" s="4" t="s">
        <v>3</v>
      </c>
      <c r="O334" s="4">
        <v>2</v>
      </c>
      <c r="P334" s="4"/>
      <c r="Q334" s="4"/>
      <c r="R334" s="4"/>
      <c r="S334" s="4"/>
      <c r="T334" s="4"/>
      <c r="U334" s="4"/>
      <c r="V334" s="4"/>
      <c r="W334" s="4">
        <v>0</v>
      </c>
      <c r="X334" s="4">
        <v>1</v>
      </c>
      <c r="Y334" s="4">
        <v>0</v>
      </c>
      <c r="Z334" s="4"/>
      <c r="AA334" s="4"/>
      <c r="AB334" s="4"/>
    </row>
    <row r="335" spans="1:245" x14ac:dyDescent="0.2">
      <c r="A335" s="4">
        <v>50</v>
      </c>
      <c r="B335" s="4">
        <v>0</v>
      </c>
      <c r="C335" s="4">
        <v>0</v>
      </c>
      <c r="D335" s="4">
        <v>1</v>
      </c>
      <c r="E335" s="4">
        <v>225</v>
      </c>
      <c r="F335" s="4">
        <f>ROUND(Source!AV330,O335)</f>
        <v>66</v>
      </c>
      <c r="G335" s="4" t="s">
        <v>104</v>
      </c>
      <c r="H335" s="4" t="s">
        <v>105</v>
      </c>
      <c r="I335" s="4"/>
      <c r="J335" s="4"/>
      <c r="K335" s="4">
        <v>225</v>
      </c>
      <c r="L335" s="4">
        <v>4</v>
      </c>
      <c r="M335" s="4">
        <v>3</v>
      </c>
      <c r="N335" s="4" t="s">
        <v>3</v>
      </c>
      <c r="O335" s="4">
        <v>2</v>
      </c>
      <c r="P335" s="4"/>
      <c r="Q335" s="4"/>
      <c r="R335" s="4"/>
      <c r="S335" s="4"/>
      <c r="T335" s="4"/>
      <c r="U335" s="4"/>
      <c r="V335" s="4"/>
      <c r="W335" s="4">
        <v>66</v>
      </c>
      <c r="X335" s="4">
        <v>1</v>
      </c>
      <c r="Y335" s="4">
        <v>66</v>
      </c>
      <c r="Z335" s="4"/>
      <c r="AA335" s="4"/>
      <c r="AB335" s="4"/>
    </row>
    <row r="336" spans="1:245" x14ac:dyDescent="0.2">
      <c r="A336" s="4">
        <v>50</v>
      </c>
      <c r="B336" s="4">
        <v>0</v>
      </c>
      <c r="C336" s="4">
        <v>0</v>
      </c>
      <c r="D336" s="4">
        <v>1</v>
      </c>
      <c r="E336" s="4">
        <v>226</v>
      </c>
      <c r="F336" s="4">
        <f>ROUND(Source!AW330,O336)</f>
        <v>66</v>
      </c>
      <c r="G336" s="4" t="s">
        <v>106</v>
      </c>
      <c r="H336" s="4" t="s">
        <v>107</v>
      </c>
      <c r="I336" s="4"/>
      <c r="J336" s="4"/>
      <c r="K336" s="4">
        <v>226</v>
      </c>
      <c r="L336" s="4">
        <v>5</v>
      </c>
      <c r="M336" s="4">
        <v>3</v>
      </c>
      <c r="N336" s="4" t="s">
        <v>3</v>
      </c>
      <c r="O336" s="4">
        <v>2</v>
      </c>
      <c r="P336" s="4"/>
      <c r="Q336" s="4"/>
      <c r="R336" s="4"/>
      <c r="S336" s="4"/>
      <c r="T336" s="4"/>
      <c r="U336" s="4"/>
      <c r="V336" s="4"/>
      <c r="W336" s="4">
        <v>66</v>
      </c>
      <c r="X336" s="4">
        <v>1</v>
      </c>
      <c r="Y336" s="4">
        <v>66</v>
      </c>
      <c r="Z336" s="4"/>
      <c r="AA336" s="4"/>
      <c r="AB336" s="4"/>
    </row>
    <row r="337" spans="1:28" x14ac:dyDescent="0.2">
      <c r="A337" s="4">
        <v>50</v>
      </c>
      <c r="B337" s="4">
        <v>0</v>
      </c>
      <c r="C337" s="4">
        <v>0</v>
      </c>
      <c r="D337" s="4">
        <v>1</v>
      </c>
      <c r="E337" s="4">
        <v>227</v>
      </c>
      <c r="F337" s="4">
        <f>ROUND(Source!AX330,O337)</f>
        <v>0</v>
      </c>
      <c r="G337" s="4" t="s">
        <v>108</v>
      </c>
      <c r="H337" s="4" t="s">
        <v>109</v>
      </c>
      <c r="I337" s="4"/>
      <c r="J337" s="4"/>
      <c r="K337" s="4">
        <v>227</v>
      </c>
      <c r="L337" s="4">
        <v>6</v>
      </c>
      <c r="M337" s="4">
        <v>3</v>
      </c>
      <c r="N337" s="4" t="s">
        <v>3</v>
      </c>
      <c r="O337" s="4">
        <v>2</v>
      </c>
      <c r="P337" s="4"/>
      <c r="Q337" s="4"/>
      <c r="R337" s="4"/>
      <c r="S337" s="4"/>
      <c r="T337" s="4"/>
      <c r="U337" s="4"/>
      <c r="V337" s="4"/>
      <c r="W337" s="4">
        <v>0</v>
      </c>
      <c r="X337" s="4">
        <v>1</v>
      </c>
      <c r="Y337" s="4">
        <v>0</v>
      </c>
      <c r="Z337" s="4"/>
      <c r="AA337" s="4"/>
      <c r="AB337" s="4"/>
    </row>
    <row r="338" spans="1:28" x14ac:dyDescent="0.2">
      <c r="A338" s="4">
        <v>50</v>
      </c>
      <c r="B338" s="4">
        <v>0</v>
      </c>
      <c r="C338" s="4">
        <v>0</v>
      </c>
      <c r="D338" s="4">
        <v>1</v>
      </c>
      <c r="E338" s="4">
        <v>228</v>
      </c>
      <c r="F338" s="4">
        <f>ROUND(Source!AY330,O338)</f>
        <v>66</v>
      </c>
      <c r="G338" s="4" t="s">
        <v>110</v>
      </c>
      <c r="H338" s="4" t="s">
        <v>111</v>
      </c>
      <c r="I338" s="4"/>
      <c r="J338" s="4"/>
      <c r="K338" s="4">
        <v>228</v>
      </c>
      <c r="L338" s="4">
        <v>7</v>
      </c>
      <c r="M338" s="4">
        <v>3</v>
      </c>
      <c r="N338" s="4" t="s">
        <v>3</v>
      </c>
      <c r="O338" s="4">
        <v>2</v>
      </c>
      <c r="P338" s="4"/>
      <c r="Q338" s="4"/>
      <c r="R338" s="4"/>
      <c r="S338" s="4"/>
      <c r="T338" s="4"/>
      <c r="U338" s="4"/>
      <c r="V338" s="4"/>
      <c r="W338" s="4">
        <v>66</v>
      </c>
      <c r="X338" s="4">
        <v>1</v>
      </c>
      <c r="Y338" s="4">
        <v>66</v>
      </c>
      <c r="Z338" s="4"/>
      <c r="AA338" s="4"/>
      <c r="AB338" s="4"/>
    </row>
    <row r="339" spans="1:28" x14ac:dyDescent="0.2">
      <c r="A339" s="4">
        <v>50</v>
      </c>
      <c r="B339" s="4">
        <v>0</v>
      </c>
      <c r="C339" s="4">
        <v>0</v>
      </c>
      <c r="D339" s="4">
        <v>1</v>
      </c>
      <c r="E339" s="4">
        <v>216</v>
      </c>
      <c r="F339" s="4">
        <f>ROUND(Source!AP330,O339)</f>
        <v>0</v>
      </c>
      <c r="G339" s="4" t="s">
        <v>112</v>
      </c>
      <c r="H339" s="4" t="s">
        <v>113</v>
      </c>
      <c r="I339" s="4"/>
      <c r="J339" s="4"/>
      <c r="K339" s="4">
        <v>216</v>
      </c>
      <c r="L339" s="4">
        <v>8</v>
      </c>
      <c r="M339" s="4">
        <v>3</v>
      </c>
      <c r="N339" s="4" t="s">
        <v>3</v>
      </c>
      <c r="O339" s="4">
        <v>2</v>
      </c>
      <c r="P339" s="4"/>
      <c r="Q339" s="4"/>
      <c r="R339" s="4"/>
      <c r="S339" s="4"/>
      <c r="T339" s="4"/>
      <c r="U339" s="4"/>
      <c r="V339" s="4"/>
      <c r="W339" s="4">
        <v>0</v>
      </c>
      <c r="X339" s="4">
        <v>1</v>
      </c>
      <c r="Y339" s="4">
        <v>0</v>
      </c>
      <c r="Z339" s="4"/>
      <c r="AA339" s="4"/>
      <c r="AB339" s="4"/>
    </row>
    <row r="340" spans="1:28" x14ac:dyDescent="0.2">
      <c r="A340" s="4">
        <v>50</v>
      </c>
      <c r="B340" s="4">
        <v>0</v>
      </c>
      <c r="C340" s="4">
        <v>0</v>
      </c>
      <c r="D340" s="4">
        <v>1</v>
      </c>
      <c r="E340" s="4">
        <v>223</v>
      </c>
      <c r="F340" s="4">
        <f>ROUND(Source!AQ330,O340)</f>
        <v>0</v>
      </c>
      <c r="G340" s="4" t="s">
        <v>114</v>
      </c>
      <c r="H340" s="4" t="s">
        <v>115</v>
      </c>
      <c r="I340" s="4"/>
      <c r="J340" s="4"/>
      <c r="K340" s="4">
        <v>223</v>
      </c>
      <c r="L340" s="4">
        <v>9</v>
      </c>
      <c r="M340" s="4">
        <v>3</v>
      </c>
      <c r="N340" s="4" t="s">
        <v>3</v>
      </c>
      <c r="O340" s="4">
        <v>2</v>
      </c>
      <c r="P340" s="4"/>
      <c r="Q340" s="4"/>
      <c r="R340" s="4"/>
      <c r="S340" s="4"/>
      <c r="T340" s="4"/>
      <c r="U340" s="4"/>
      <c r="V340" s="4"/>
      <c r="W340" s="4">
        <v>0</v>
      </c>
      <c r="X340" s="4">
        <v>1</v>
      </c>
      <c r="Y340" s="4">
        <v>0</v>
      </c>
      <c r="Z340" s="4"/>
      <c r="AA340" s="4"/>
      <c r="AB340" s="4"/>
    </row>
    <row r="341" spans="1:28" x14ac:dyDescent="0.2">
      <c r="A341" s="4">
        <v>50</v>
      </c>
      <c r="B341" s="4">
        <v>0</v>
      </c>
      <c r="C341" s="4">
        <v>0</v>
      </c>
      <c r="D341" s="4">
        <v>1</v>
      </c>
      <c r="E341" s="4">
        <v>229</v>
      </c>
      <c r="F341" s="4">
        <f>ROUND(Source!AZ330,O341)</f>
        <v>0</v>
      </c>
      <c r="G341" s="4" t="s">
        <v>116</v>
      </c>
      <c r="H341" s="4" t="s">
        <v>117</v>
      </c>
      <c r="I341" s="4"/>
      <c r="J341" s="4"/>
      <c r="K341" s="4">
        <v>229</v>
      </c>
      <c r="L341" s="4">
        <v>10</v>
      </c>
      <c r="M341" s="4">
        <v>3</v>
      </c>
      <c r="N341" s="4" t="s">
        <v>3</v>
      </c>
      <c r="O341" s="4">
        <v>2</v>
      </c>
      <c r="P341" s="4"/>
      <c r="Q341" s="4"/>
      <c r="R341" s="4"/>
      <c r="S341" s="4"/>
      <c r="T341" s="4"/>
      <c r="U341" s="4"/>
      <c r="V341" s="4"/>
      <c r="W341" s="4">
        <v>0</v>
      </c>
      <c r="X341" s="4">
        <v>1</v>
      </c>
      <c r="Y341" s="4">
        <v>0</v>
      </c>
      <c r="Z341" s="4"/>
      <c r="AA341" s="4"/>
      <c r="AB341" s="4"/>
    </row>
    <row r="342" spans="1:28" x14ac:dyDescent="0.2">
      <c r="A342" s="4">
        <v>50</v>
      </c>
      <c r="B342" s="4">
        <v>0</v>
      </c>
      <c r="C342" s="4">
        <v>0</v>
      </c>
      <c r="D342" s="4">
        <v>1</v>
      </c>
      <c r="E342" s="4">
        <v>203</v>
      </c>
      <c r="F342" s="4">
        <f>ROUND(Source!Q330,O342)</f>
        <v>6.9</v>
      </c>
      <c r="G342" s="4" t="s">
        <v>118</v>
      </c>
      <c r="H342" s="4" t="s">
        <v>119</v>
      </c>
      <c r="I342" s="4"/>
      <c r="J342" s="4"/>
      <c r="K342" s="4">
        <v>203</v>
      </c>
      <c r="L342" s="4">
        <v>11</v>
      </c>
      <c r="M342" s="4">
        <v>3</v>
      </c>
      <c r="N342" s="4" t="s">
        <v>3</v>
      </c>
      <c r="O342" s="4">
        <v>2</v>
      </c>
      <c r="P342" s="4"/>
      <c r="Q342" s="4"/>
      <c r="R342" s="4"/>
      <c r="S342" s="4"/>
      <c r="T342" s="4"/>
      <c r="U342" s="4"/>
      <c r="V342" s="4"/>
      <c r="W342" s="4">
        <v>6.9</v>
      </c>
      <c r="X342" s="4">
        <v>1</v>
      </c>
      <c r="Y342" s="4">
        <v>6.9</v>
      </c>
      <c r="Z342" s="4"/>
      <c r="AA342" s="4"/>
      <c r="AB342" s="4"/>
    </row>
    <row r="343" spans="1:28" x14ac:dyDescent="0.2">
      <c r="A343" s="4">
        <v>50</v>
      </c>
      <c r="B343" s="4">
        <v>0</v>
      </c>
      <c r="C343" s="4">
        <v>0</v>
      </c>
      <c r="D343" s="4">
        <v>1</v>
      </c>
      <c r="E343" s="4">
        <v>231</v>
      </c>
      <c r="F343" s="4">
        <f>ROUND(Source!BB330,O343)</f>
        <v>0</v>
      </c>
      <c r="G343" s="4" t="s">
        <v>120</v>
      </c>
      <c r="H343" s="4" t="s">
        <v>121</v>
      </c>
      <c r="I343" s="4"/>
      <c r="J343" s="4"/>
      <c r="K343" s="4">
        <v>231</v>
      </c>
      <c r="L343" s="4">
        <v>12</v>
      </c>
      <c r="M343" s="4">
        <v>3</v>
      </c>
      <c r="N343" s="4" t="s">
        <v>3</v>
      </c>
      <c r="O343" s="4">
        <v>2</v>
      </c>
      <c r="P343" s="4"/>
      <c r="Q343" s="4"/>
      <c r="R343" s="4"/>
      <c r="S343" s="4"/>
      <c r="T343" s="4"/>
      <c r="U343" s="4"/>
      <c r="V343" s="4"/>
      <c r="W343" s="4">
        <v>0</v>
      </c>
      <c r="X343" s="4">
        <v>1</v>
      </c>
      <c r="Y343" s="4">
        <v>0</v>
      </c>
      <c r="Z343" s="4"/>
      <c r="AA343" s="4"/>
      <c r="AB343" s="4"/>
    </row>
    <row r="344" spans="1:28" x14ac:dyDescent="0.2">
      <c r="A344" s="4">
        <v>50</v>
      </c>
      <c r="B344" s="4">
        <v>0</v>
      </c>
      <c r="C344" s="4">
        <v>0</v>
      </c>
      <c r="D344" s="4">
        <v>1</v>
      </c>
      <c r="E344" s="4">
        <v>204</v>
      </c>
      <c r="F344" s="4">
        <f>ROUND(Source!R330,O344)</f>
        <v>0</v>
      </c>
      <c r="G344" s="4" t="s">
        <v>122</v>
      </c>
      <c r="H344" s="4" t="s">
        <v>123</v>
      </c>
      <c r="I344" s="4"/>
      <c r="J344" s="4"/>
      <c r="K344" s="4">
        <v>204</v>
      </c>
      <c r="L344" s="4">
        <v>13</v>
      </c>
      <c r="M344" s="4">
        <v>3</v>
      </c>
      <c r="N344" s="4" t="s">
        <v>3</v>
      </c>
      <c r="O344" s="4">
        <v>2</v>
      </c>
      <c r="P344" s="4"/>
      <c r="Q344" s="4"/>
      <c r="R344" s="4"/>
      <c r="S344" s="4"/>
      <c r="T344" s="4"/>
      <c r="U344" s="4"/>
      <c r="V344" s="4"/>
      <c r="W344" s="4">
        <v>0</v>
      </c>
      <c r="X344" s="4">
        <v>1</v>
      </c>
      <c r="Y344" s="4">
        <v>0</v>
      </c>
      <c r="Z344" s="4"/>
      <c r="AA344" s="4"/>
      <c r="AB344" s="4"/>
    </row>
    <row r="345" spans="1:28" x14ac:dyDescent="0.2">
      <c r="A345" s="4">
        <v>50</v>
      </c>
      <c r="B345" s="4">
        <v>0</v>
      </c>
      <c r="C345" s="4">
        <v>0</v>
      </c>
      <c r="D345" s="4">
        <v>1</v>
      </c>
      <c r="E345" s="4">
        <v>205</v>
      </c>
      <c r="F345" s="4">
        <f>ROUND(Source!S330,O345)</f>
        <v>2593.5</v>
      </c>
      <c r="G345" s="4" t="s">
        <v>124</v>
      </c>
      <c r="H345" s="4" t="s">
        <v>125</v>
      </c>
      <c r="I345" s="4"/>
      <c r="J345" s="4"/>
      <c r="K345" s="4">
        <v>205</v>
      </c>
      <c r="L345" s="4">
        <v>14</v>
      </c>
      <c r="M345" s="4">
        <v>3</v>
      </c>
      <c r="N345" s="4" t="s">
        <v>3</v>
      </c>
      <c r="O345" s="4">
        <v>2</v>
      </c>
      <c r="P345" s="4"/>
      <c r="Q345" s="4"/>
      <c r="R345" s="4"/>
      <c r="S345" s="4"/>
      <c r="T345" s="4"/>
      <c r="U345" s="4"/>
      <c r="V345" s="4"/>
      <c r="W345" s="4">
        <v>2593.5</v>
      </c>
      <c r="X345" s="4">
        <v>1</v>
      </c>
      <c r="Y345" s="4">
        <v>2593.5</v>
      </c>
      <c r="Z345" s="4"/>
      <c r="AA345" s="4"/>
      <c r="AB345" s="4"/>
    </row>
    <row r="346" spans="1:28" x14ac:dyDescent="0.2">
      <c r="A346" s="4">
        <v>50</v>
      </c>
      <c r="B346" s="4">
        <v>0</v>
      </c>
      <c r="C346" s="4">
        <v>0</v>
      </c>
      <c r="D346" s="4">
        <v>1</v>
      </c>
      <c r="E346" s="4">
        <v>232</v>
      </c>
      <c r="F346" s="4">
        <f>ROUND(Source!BC330,O346)</f>
        <v>0</v>
      </c>
      <c r="G346" s="4" t="s">
        <v>126</v>
      </c>
      <c r="H346" s="4" t="s">
        <v>127</v>
      </c>
      <c r="I346" s="4"/>
      <c r="J346" s="4"/>
      <c r="K346" s="4">
        <v>232</v>
      </c>
      <c r="L346" s="4">
        <v>15</v>
      </c>
      <c r="M346" s="4">
        <v>3</v>
      </c>
      <c r="N346" s="4" t="s">
        <v>3</v>
      </c>
      <c r="O346" s="4">
        <v>2</v>
      </c>
      <c r="P346" s="4"/>
      <c r="Q346" s="4"/>
      <c r="R346" s="4"/>
      <c r="S346" s="4"/>
      <c r="T346" s="4"/>
      <c r="U346" s="4"/>
      <c r="V346" s="4"/>
      <c r="W346" s="4">
        <v>0</v>
      </c>
      <c r="X346" s="4">
        <v>1</v>
      </c>
      <c r="Y346" s="4">
        <v>0</v>
      </c>
      <c r="Z346" s="4"/>
      <c r="AA346" s="4"/>
      <c r="AB346" s="4"/>
    </row>
    <row r="347" spans="1:28" x14ac:dyDescent="0.2">
      <c r="A347" s="4">
        <v>50</v>
      </c>
      <c r="B347" s="4">
        <v>0</v>
      </c>
      <c r="C347" s="4">
        <v>0</v>
      </c>
      <c r="D347" s="4">
        <v>1</v>
      </c>
      <c r="E347" s="4">
        <v>214</v>
      </c>
      <c r="F347" s="4">
        <f>ROUND(Source!AS330,O347)</f>
        <v>0</v>
      </c>
      <c r="G347" s="4" t="s">
        <v>128</v>
      </c>
      <c r="H347" s="4" t="s">
        <v>129</v>
      </c>
      <c r="I347" s="4"/>
      <c r="J347" s="4"/>
      <c r="K347" s="4">
        <v>214</v>
      </c>
      <c r="L347" s="4">
        <v>16</v>
      </c>
      <c r="M347" s="4">
        <v>3</v>
      </c>
      <c r="N347" s="4" t="s">
        <v>3</v>
      </c>
      <c r="O347" s="4">
        <v>2</v>
      </c>
      <c r="P347" s="4"/>
      <c r="Q347" s="4"/>
      <c r="R347" s="4"/>
      <c r="S347" s="4"/>
      <c r="T347" s="4"/>
      <c r="U347" s="4"/>
      <c r="V347" s="4"/>
      <c r="W347" s="4">
        <v>0</v>
      </c>
      <c r="X347" s="4">
        <v>1</v>
      </c>
      <c r="Y347" s="4">
        <v>0</v>
      </c>
      <c r="Z347" s="4"/>
      <c r="AA347" s="4"/>
      <c r="AB347" s="4"/>
    </row>
    <row r="348" spans="1:28" x14ac:dyDescent="0.2">
      <c r="A348" s="4">
        <v>50</v>
      </c>
      <c r="B348" s="4">
        <v>0</v>
      </c>
      <c r="C348" s="4">
        <v>0</v>
      </c>
      <c r="D348" s="4">
        <v>1</v>
      </c>
      <c r="E348" s="4">
        <v>215</v>
      </c>
      <c r="F348" s="4">
        <f>ROUND(Source!AT330,O348)</f>
        <v>0</v>
      </c>
      <c r="G348" s="4" t="s">
        <v>130</v>
      </c>
      <c r="H348" s="4" t="s">
        <v>131</v>
      </c>
      <c r="I348" s="4"/>
      <c r="J348" s="4"/>
      <c r="K348" s="4">
        <v>215</v>
      </c>
      <c r="L348" s="4">
        <v>17</v>
      </c>
      <c r="M348" s="4">
        <v>3</v>
      </c>
      <c r="N348" s="4" t="s">
        <v>3</v>
      </c>
      <c r="O348" s="4">
        <v>2</v>
      </c>
      <c r="P348" s="4"/>
      <c r="Q348" s="4"/>
      <c r="R348" s="4"/>
      <c r="S348" s="4"/>
      <c r="T348" s="4"/>
      <c r="U348" s="4"/>
      <c r="V348" s="4"/>
      <c r="W348" s="4">
        <v>0</v>
      </c>
      <c r="X348" s="4">
        <v>1</v>
      </c>
      <c r="Y348" s="4">
        <v>0</v>
      </c>
      <c r="Z348" s="4"/>
      <c r="AA348" s="4"/>
      <c r="AB348" s="4"/>
    </row>
    <row r="349" spans="1:28" x14ac:dyDescent="0.2">
      <c r="A349" s="4">
        <v>50</v>
      </c>
      <c r="B349" s="4">
        <v>0</v>
      </c>
      <c r="C349" s="4">
        <v>0</v>
      </c>
      <c r="D349" s="4">
        <v>1</v>
      </c>
      <c r="E349" s="4">
        <v>217</v>
      </c>
      <c r="F349" s="4">
        <f>ROUND(Source!AU330,O349)</f>
        <v>4741.2</v>
      </c>
      <c r="G349" s="4" t="s">
        <v>132</v>
      </c>
      <c r="H349" s="4" t="s">
        <v>133</v>
      </c>
      <c r="I349" s="4"/>
      <c r="J349" s="4"/>
      <c r="K349" s="4">
        <v>217</v>
      </c>
      <c r="L349" s="4">
        <v>18</v>
      </c>
      <c r="M349" s="4">
        <v>3</v>
      </c>
      <c r="N349" s="4" t="s">
        <v>3</v>
      </c>
      <c r="O349" s="4">
        <v>2</v>
      </c>
      <c r="P349" s="4"/>
      <c r="Q349" s="4"/>
      <c r="R349" s="4"/>
      <c r="S349" s="4"/>
      <c r="T349" s="4"/>
      <c r="U349" s="4"/>
      <c r="V349" s="4"/>
      <c r="W349" s="4">
        <v>4741.2</v>
      </c>
      <c r="X349" s="4">
        <v>1</v>
      </c>
      <c r="Y349" s="4">
        <v>4741.2</v>
      </c>
      <c r="Z349" s="4"/>
      <c r="AA349" s="4"/>
      <c r="AB349" s="4"/>
    </row>
    <row r="350" spans="1:28" x14ac:dyDescent="0.2">
      <c r="A350" s="4">
        <v>50</v>
      </c>
      <c r="B350" s="4">
        <v>0</v>
      </c>
      <c r="C350" s="4">
        <v>0</v>
      </c>
      <c r="D350" s="4">
        <v>1</v>
      </c>
      <c r="E350" s="4">
        <v>230</v>
      </c>
      <c r="F350" s="4">
        <f>ROUND(Source!BA330,O350)</f>
        <v>0</v>
      </c>
      <c r="G350" s="4" t="s">
        <v>134</v>
      </c>
      <c r="H350" s="4" t="s">
        <v>135</v>
      </c>
      <c r="I350" s="4"/>
      <c r="J350" s="4"/>
      <c r="K350" s="4">
        <v>230</v>
      </c>
      <c r="L350" s="4">
        <v>19</v>
      </c>
      <c r="M350" s="4">
        <v>3</v>
      </c>
      <c r="N350" s="4" t="s">
        <v>3</v>
      </c>
      <c r="O350" s="4">
        <v>2</v>
      </c>
      <c r="P350" s="4"/>
      <c r="Q350" s="4"/>
      <c r="R350" s="4"/>
      <c r="S350" s="4"/>
      <c r="T350" s="4"/>
      <c r="U350" s="4"/>
      <c r="V350" s="4"/>
      <c r="W350" s="4">
        <v>0</v>
      </c>
      <c r="X350" s="4">
        <v>1</v>
      </c>
      <c r="Y350" s="4">
        <v>0</v>
      </c>
      <c r="Z350" s="4"/>
      <c r="AA350" s="4"/>
      <c r="AB350" s="4"/>
    </row>
    <row r="351" spans="1:28" x14ac:dyDescent="0.2">
      <c r="A351" s="4">
        <v>50</v>
      </c>
      <c r="B351" s="4">
        <v>0</v>
      </c>
      <c r="C351" s="4">
        <v>0</v>
      </c>
      <c r="D351" s="4">
        <v>1</v>
      </c>
      <c r="E351" s="4">
        <v>206</v>
      </c>
      <c r="F351" s="4">
        <f>ROUND(Source!T330,O351)</f>
        <v>0</v>
      </c>
      <c r="G351" s="4" t="s">
        <v>136</v>
      </c>
      <c r="H351" s="4" t="s">
        <v>137</v>
      </c>
      <c r="I351" s="4"/>
      <c r="J351" s="4"/>
      <c r="K351" s="4">
        <v>206</v>
      </c>
      <c r="L351" s="4">
        <v>20</v>
      </c>
      <c r="M351" s="4">
        <v>3</v>
      </c>
      <c r="N351" s="4" t="s">
        <v>3</v>
      </c>
      <c r="O351" s="4">
        <v>2</v>
      </c>
      <c r="P351" s="4"/>
      <c r="Q351" s="4"/>
      <c r="R351" s="4"/>
      <c r="S351" s="4"/>
      <c r="T351" s="4"/>
      <c r="U351" s="4"/>
      <c r="V351" s="4"/>
      <c r="W351" s="4">
        <v>0</v>
      </c>
      <c r="X351" s="4">
        <v>1</v>
      </c>
      <c r="Y351" s="4">
        <v>0</v>
      </c>
      <c r="Z351" s="4"/>
      <c r="AA351" s="4"/>
      <c r="AB351" s="4"/>
    </row>
    <row r="352" spans="1:28" x14ac:dyDescent="0.2">
      <c r="A352" s="4">
        <v>50</v>
      </c>
      <c r="B352" s="4">
        <v>0</v>
      </c>
      <c r="C352" s="4">
        <v>0</v>
      </c>
      <c r="D352" s="4">
        <v>1</v>
      </c>
      <c r="E352" s="4">
        <v>207</v>
      </c>
      <c r="F352" s="4">
        <f>Source!U330</f>
        <v>4.2</v>
      </c>
      <c r="G352" s="4" t="s">
        <v>138</v>
      </c>
      <c r="H352" s="4" t="s">
        <v>139</v>
      </c>
      <c r="I352" s="4"/>
      <c r="J352" s="4"/>
      <c r="K352" s="4">
        <v>207</v>
      </c>
      <c r="L352" s="4">
        <v>21</v>
      </c>
      <c r="M352" s="4">
        <v>3</v>
      </c>
      <c r="N352" s="4" t="s">
        <v>3</v>
      </c>
      <c r="O352" s="4">
        <v>-1</v>
      </c>
      <c r="P352" s="4"/>
      <c r="Q352" s="4"/>
      <c r="R352" s="4"/>
      <c r="S352" s="4"/>
      <c r="T352" s="4"/>
      <c r="U352" s="4"/>
      <c r="V352" s="4"/>
      <c r="W352" s="4">
        <v>4.2</v>
      </c>
      <c r="X352" s="4">
        <v>1</v>
      </c>
      <c r="Y352" s="4">
        <v>4.2</v>
      </c>
      <c r="Z352" s="4"/>
      <c r="AA352" s="4"/>
      <c r="AB352" s="4"/>
    </row>
    <row r="353" spans="1:245" x14ac:dyDescent="0.2">
      <c r="A353" s="4">
        <v>50</v>
      </c>
      <c r="B353" s="4">
        <v>0</v>
      </c>
      <c r="C353" s="4">
        <v>0</v>
      </c>
      <c r="D353" s="4">
        <v>1</v>
      </c>
      <c r="E353" s="4">
        <v>208</v>
      </c>
      <c r="F353" s="4">
        <f>Source!V330</f>
        <v>0</v>
      </c>
      <c r="G353" s="4" t="s">
        <v>140</v>
      </c>
      <c r="H353" s="4" t="s">
        <v>141</v>
      </c>
      <c r="I353" s="4"/>
      <c r="J353" s="4"/>
      <c r="K353" s="4">
        <v>208</v>
      </c>
      <c r="L353" s="4">
        <v>22</v>
      </c>
      <c r="M353" s="4">
        <v>3</v>
      </c>
      <c r="N353" s="4" t="s">
        <v>3</v>
      </c>
      <c r="O353" s="4">
        <v>-1</v>
      </c>
      <c r="P353" s="4"/>
      <c r="Q353" s="4"/>
      <c r="R353" s="4"/>
      <c r="S353" s="4"/>
      <c r="T353" s="4"/>
      <c r="U353" s="4"/>
      <c r="V353" s="4"/>
      <c r="W353" s="4">
        <v>0</v>
      </c>
      <c r="X353" s="4">
        <v>1</v>
      </c>
      <c r="Y353" s="4">
        <v>0</v>
      </c>
      <c r="Z353" s="4"/>
      <c r="AA353" s="4"/>
      <c r="AB353" s="4"/>
    </row>
    <row r="354" spans="1:245" x14ac:dyDescent="0.2">
      <c r="A354" s="4">
        <v>50</v>
      </c>
      <c r="B354" s="4">
        <v>0</v>
      </c>
      <c r="C354" s="4">
        <v>0</v>
      </c>
      <c r="D354" s="4">
        <v>1</v>
      </c>
      <c r="E354" s="4">
        <v>209</v>
      </c>
      <c r="F354" s="4">
        <f>ROUND(Source!W330,O354)</f>
        <v>0</v>
      </c>
      <c r="G354" s="4" t="s">
        <v>142</v>
      </c>
      <c r="H354" s="4" t="s">
        <v>143</v>
      </c>
      <c r="I354" s="4"/>
      <c r="J354" s="4"/>
      <c r="K354" s="4">
        <v>209</v>
      </c>
      <c r="L354" s="4">
        <v>23</v>
      </c>
      <c r="M354" s="4">
        <v>3</v>
      </c>
      <c r="N354" s="4" t="s">
        <v>3</v>
      </c>
      <c r="O354" s="4">
        <v>2</v>
      </c>
      <c r="P354" s="4"/>
      <c r="Q354" s="4"/>
      <c r="R354" s="4"/>
      <c r="S354" s="4"/>
      <c r="T354" s="4"/>
      <c r="U354" s="4"/>
      <c r="V354" s="4"/>
      <c r="W354" s="4">
        <v>0</v>
      </c>
      <c r="X354" s="4">
        <v>1</v>
      </c>
      <c r="Y354" s="4">
        <v>0</v>
      </c>
      <c r="Z354" s="4"/>
      <c r="AA354" s="4"/>
      <c r="AB354" s="4"/>
    </row>
    <row r="355" spans="1:245" x14ac:dyDescent="0.2">
      <c r="A355" s="4">
        <v>50</v>
      </c>
      <c r="B355" s="4">
        <v>0</v>
      </c>
      <c r="C355" s="4">
        <v>0</v>
      </c>
      <c r="D355" s="4">
        <v>1</v>
      </c>
      <c r="E355" s="4">
        <v>233</v>
      </c>
      <c r="F355" s="4">
        <f>ROUND(Source!BD330,O355)</f>
        <v>0</v>
      </c>
      <c r="G355" s="4" t="s">
        <v>144</v>
      </c>
      <c r="H355" s="4" t="s">
        <v>145</v>
      </c>
      <c r="I355" s="4"/>
      <c r="J355" s="4"/>
      <c r="K355" s="4">
        <v>233</v>
      </c>
      <c r="L355" s="4">
        <v>24</v>
      </c>
      <c r="M355" s="4">
        <v>3</v>
      </c>
      <c r="N355" s="4" t="s">
        <v>3</v>
      </c>
      <c r="O355" s="4">
        <v>2</v>
      </c>
      <c r="P355" s="4"/>
      <c r="Q355" s="4"/>
      <c r="R355" s="4"/>
      <c r="S355" s="4"/>
      <c r="T355" s="4"/>
      <c r="U355" s="4"/>
      <c r="V355" s="4"/>
      <c r="W355" s="4">
        <v>0</v>
      </c>
      <c r="X355" s="4">
        <v>1</v>
      </c>
      <c r="Y355" s="4">
        <v>0</v>
      </c>
      <c r="Z355" s="4"/>
      <c r="AA355" s="4"/>
      <c r="AB355" s="4"/>
    </row>
    <row r="356" spans="1:245" x14ac:dyDescent="0.2">
      <c r="A356" s="4">
        <v>50</v>
      </c>
      <c r="B356" s="4">
        <v>0</v>
      </c>
      <c r="C356" s="4">
        <v>0</v>
      </c>
      <c r="D356" s="4">
        <v>1</v>
      </c>
      <c r="E356" s="4">
        <v>210</v>
      </c>
      <c r="F356" s="4">
        <f>ROUND(Source!X330,O356)</f>
        <v>1815.45</v>
      </c>
      <c r="G356" s="4" t="s">
        <v>146</v>
      </c>
      <c r="H356" s="4" t="s">
        <v>147</v>
      </c>
      <c r="I356" s="4"/>
      <c r="J356" s="4"/>
      <c r="K356" s="4">
        <v>210</v>
      </c>
      <c r="L356" s="4">
        <v>25</v>
      </c>
      <c r="M356" s="4">
        <v>3</v>
      </c>
      <c r="N356" s="4" t="s">
        <v>3</v>
      </c>
      <c r="O356" s="4">
        <v>2</v>
      </c>
      <c r="P356" s="4"/>
      <c r="Q356" s="4"/>
      <c r="R356" s="4"/>
      <c r="S356" s="4"/>
      <c r="T356" s="4"/>
      <c r="U356" s="4"/>
      <c r="V356" s="4"/>
      <c r="W356" s="4">
        <v>1815.45</v>
      </c>
      <c r="X356" s="4">
        <v>1</v>
      </c>
      <c r="Y356" s="4">
        <v>1815.45</v>
      </c>
      <c r="Z356" s="4"/>
      <c r="AA356" s="4"/>
      <c r="AB356" s="4"/>
    </row>
    <row r="357" spans="1:245" x14ac:dyDescent="0.2">
      <c r="A357" s="4">
        <v>50</v>
      </c>
      <c r="B357" s="4">
        <v>0</v>
      </c>
      <c r="C357" s="4">
        <v>0</v>
      </c>
      <c r="D357" s="4">
        <v>1</v>
      </c>
      <c r="E357" s="4">
        <v>211</v>
      </c>
      <c r="F357" s="4">
        <f>ROUND(Source!Y330,O357)</f>
        <v>259.35000000000002</v>
      </c>
      <c r="G357" s="4" t="s">
        <v>148</v>
      </c>
      <c r="H357" s="4" t="s">
        <v>149</v>
      </c>
      <c r="I357" s="4"/>
      <c r="J357" s="4"/>
      <c r="K357" s="4">
        <v>211</v>
      </c>
      <c r="L357" s="4">
        <v>26</v>
      </c>
      <c r="M357" s="4">
        <v>3</v>
      </c>
      <c r="N357" s="4" t="s">
        <v>3</v>
      </c>
      <c r="O357" s="4">
        <v>2</v>
      </c>
      <c r="P357" s="4"/>
      <c r="Q357" s="4"/>
      <c r="R357" s="4"/>
      <c r="S357" s="4"/>
      <c r="T357" s="4"/>
      <c r="U357" s="4"/>
      <c r="V357" s="4"/>
      <c r="W357" s="4">
        <v>259.35000000000002</v>
      </c>
      <c r="X357" s="4">
        <v>1</v>
      </c>
      <c r="Y357" s="4">
        <v>259.35000000000002</v>
      </c>
      <c r="Z357" s="4"/>
      <c r="AA357" s="4"/>
      <c r="AB357" s="4"/>
    </row>
    <row r="358" spans="1:245" x14ac:dyDescent="0.2">
      <c r="A358" s="4">
        <v>50</v>
      </c>
      <c r="B358" s="4">
        <v>0</v>
      </c>
      <c r="C358" s="4">
        <v>0</v>
      </c>
      <c r="D358" s="4">
        <v>1</v>
      </c>
      <c r="E358" s="4">
        <v>224</v>
      </c>
      <c r="F358" s="4">
        <f>ROUND(Source!AR330,O358)</f>
        <v>4741.2</v>
      </c>
      <c r="G358" s="4" t="s">
        <v>150</v>
      </c>
      <c r="H358" s="4" t="s">
        <v>151</v>
      </c>
      <c r="I358" s="4"/>
      <c r="J358" s="4"/>
      <c r="K358" s="4">
        <v>224</v>
      </c>
      <c r="L358" s="4">
        <v>27</v>
      </c>
      <c r="M358" s="4">
        <v>3</v>
      </c>
      <c r="N358" s="4" t="s">
        <v>3</v>
      </c>
      <c r="O358" s="4">
        <v>2</v>
      </c>
      <c r="P358" s="4"/>
      <c r="Q358" s="4"/>
      <c r="R358" s="4"/>
      <c r="S358" s="4"/>
      <c r="T358" s="4"/>
      <c r="U358" s="4"/>
      <c r="V358" s="4"/>
      <c r="W358" s="4">
        <v>4741.2</v>
      </c>
      <c r="X358" s="4">
        <v>1</v>
      </c>
      <c r="Y358" s="4">
        <v>4741.2</v>
      </c>
      <c r="Z358" s="4"/>
      <c r="AA358" s="4"/>
      <c r="AB358" s="4"/>
    </row>
    <row r="360" spans="1:245" x14ac:dyDescent="0.2">
      <c r="A360" s="1">
        <v>5</v>
      </c>
      <c r="B360" s="1">
        <v>1</v>
      </c>
      <c r="C360" s="1"/>
      <c r="D360" s="1">
        <f>ROW(A374)</f>
        <v>374</v>
      </c>
      <c r="E360" s="1"/>
      <c r="F360" s="1" t="s">
        <v>14</v>
      </c>
      <c r="G360" s="1" t="s">
        <v>164</v>
      </c>
      <c r="H360" s="1" t="s">
        <v>3</v>
      </c>
      <c r="I360" s="1">
        <v>0</v>
      </c>
      <c r="J360" s="1"/>
      <c r="K360" s="1">
        <v>0</v>
      </c>
      <c r="L360" s="1"/>
      <c r="M360" s="1" t="s">
        <v>3</v>
      </c>
      <c r="N360" s="1"/>
      <c r="O360" s="1"/>
      <c r="P360" s="1"/>
      <c r="Q360" s="1"/>
      <c r="R360" s="1"/>
      <c r="S360" s="1">
        <v>0</v>
      </c>
      <c r="T360" s="1"/>
      <c r="U360" s="1" t="s">
        <v>3</v>
      </c>
      <c r="V360" s="1">
        <v>0</v>
      </c>
      <c r="W360" s="1"/>
      <c r="X360" s="1"/>
      <c r="Y360" s="1"/>
      <c r="Z360" s="1"/>
      <c r="AA360" s="1"/>
      <c r="AB360" s="1" t="s">
        <v>3</v>
      </c>
      <c r="AC360" s="1" t="s">
        <v>3</v>
      </c>
      <c r="AD360" s="1" t="s">
        <v>3</v>
      </c>
      <c r="AE360" s="1" t="s">
        <v>3</v>
      </c>
      <c r="AF360" s="1" t="s">
        <v>3</v>
      </c>
      <c r="AG360" s="1" t="s">
        <v>3</v>
      </c>
      <c r="AH360" s="1"/>
      <c r="AI360" s="1"/>
      <c r="AJ360" s="1"/>
      <c r="AK360" s="1"/>
      <c r="AL360" s="1"/>
      <c r="AM360" s="1"/>
      <c r="AN360" s="1"/>
      <c r="AO360" s="1"/>
      <c r="AP360" s="1" t="s">
        <v>3</v>
      </c>
      <c r="AQ360" s="1" t="s">
        <v>3</v>
      </c>
      <c r="AR360" s="1" t="s">
        <v>3</v>
      </c>
      <c r="AS360" s="1"/>
      <c r="AT360" s="1"/>
      <c r="AU360" s="1"/>
      <c r="AV360" s="1"/>
      <c r="AW360" s="1"/>
      <c r="AX360" s="1"/>
      <c r="AY360" s="1"/>
      <c r="AZ360" s="1" t="s">
        <v>3</v>
      </c>
      <c r="BA360" s="1"/>
      <c r="BB360" s="1" t="s">
        <v>3</v>
      </c>
      <c r="BC360" s="1" t="s">
        <v>3</v>
      </c>
      <c r="BD360" s="1" t="s">
        <v>3</v>
      </c>
      <c r="BE360" s="1" t="s">
        <v>3</v>
      </c>
      <c r="BF360" s="1" t="s">
        <v>3</v>
      </c>
      <c r="BG360" s="1" t="s">
        <v>3</v>
      </c>
      <c r="BH360" s="1" t="s">
        <v>3</v>
      </c>
      <c r="BI360" s="1" t="s">
        <v>3</v>
      </c>
      <c r="BJ360" s="1" t="s">
        <v>3</v>
      </c>
      <c r="BK360" s="1" t="s">
        <v>3</v>
      </c>
      <c r="BL360" s="1" t="s">
        <v>3</v>
      </c>
      <c r="BM360" s="1" t="s">
        <v>3</v>
      </c>
      <c r="BN360" s="1" t="s">
        <v>3</v>
      </c>
      <c r="BO360" s="1" t="s">
        <v>3</v>
      </c>
      <c r="BP360" s="1" t="s">
        <v>3</v>
      </c>
      <c r="BQ360" s="1"/>
      <c r="BR360" s="1"/>
      <c r="BS360" s="1"/>
      <c r="BT360" s="1"/>
      <c r="BU360" s="1"/>
      <c r="BV360" s="1"/>
      <c r="BW360" s="1"/>
      <c r="BX360" s="1">
        <v>0</v>
      </c>
      <c r="BY360" s="1"/>
      <c r="BZ360" s="1"/>
      <c r="CA360" s="1"/>
      <c r="CB360" s="1"/>
      <c r="CC360" s="1"/>
      <c r="CD360" s="1"/>
      <c r="CE360" s="1"/>
      <c r="CF360" s="1"/>
      <c r="CG360" s="1"/>
      <c r="CH360" s="1"/>
      <c r="CI360" s="1"/>
      <c r="CJ360" s="1">
        <v>0</v>
      </c>
    </row>
    <row r="362" spans="1:245" x14ac:dyDescent="0.2">
      <c r="A362" s="2">
        <v>52</v>
      </c>
      <c r="B362" s="2">
        <f t="shared" ref="B362:G362" si="300">B374</f>
        <v>1</v>
      </c>
      <c r="C362" s="2">
        <f t="shared" si="300"/>
        <v>5</v>
      </c>
      <c r="D362" s="2">
        <f t="shared" si="300"/>
        <v>360</v>
      </c>
      <c r="E362" s="2">
        <f t="shared" si="300"/>
        <v>0</v>
      </c>
      <c r="F362" s="2" t="str">
        <f t="shared" si="300"/>
        <v>Новый подраздел</v>
      </c>
      <c r="G362" s="2" t="str">
        <f t="shared" si="300"/>
        <v>Вентиляция и кондиционирование</v>
      </c>
      <c r="H362" s="2"/>
      <c r="I362" s="2"/>
      <c r="J362" s="2"/>
      <c r="K362" s="2"/>
      <c r="L362" s="2"/>
      <c r="M362" s="2"/>
      <c r="N362" s="2"/>
      <c r="O362" s="2">
        <f t="shared" ref="O362:AT362" si="301">O374</f>
        <v>71039.55</v>
      </c>
      <c r="P362" s="2">
        <f t="shared" si="301"/>
        <v>25.2</v>
      </c>
      <c r="Q362" s="2">
        <f t="shared" si="301"/>
        <v>79.2</v>
      </c>
      <c r="R362" s="2">
        <f t="shared" si="301"/>
        <v>1.05</v>
      </c>
      <c r="S362" s="2">
        <f t="shared" si="301"/>
        <v>70935.149999999994</v>
      </c>
      <c r="T362" s="2">
        <f t="shared" si="301"/>
        <v>0</v>
      </c>
      <c r="U362" s="2">
        <f t="shared" si="301"/>
        <v>111.3</v>
      </c>
      <c r="V362" s="2">
        <f t="shared" si="301"/>
        <v>0</v>
      </c>
      <c r="W362" s="2">
        <f t="shared" si="301"/>
        <v>0</v>
      </c>
      <c r="X362" s="2">
        <f t="shared" si="301"/>
        <v>49654.61</v>
      </c>
      <c r="Y362" s="2">
        <f t="shared" si="301"/>
        <v>7093.52</v>
      </c>
      <c r="Z362" s="2">
        <f t="shared" si="301"/>
        <v>0</v>
      </c>
      <c r="AA362" s="2">
        <f t="shared" si="301"/>
        <v>0</v>
      </c>
      <c r="AB362" s="2">
        <f t="shared" si="301"/>
        <v>71039.55</v>
      </c>
      <c r="AC362" s="2">
        <f t="shared" si="301"/>
        <v>25.2</v>
      </c>
      <c r="AD362" s="2">
        <f t="shared" si="301"/>
        <v>79.2</v>
      </c>
      <c r="AE362" s="2">
        <f t="shared" si="301"/>
        <v>1.05</v>
      </c>
      <c r="AF362" s="2">
        <f t="shared" si="301"/>
        <v>70935.149999999994</v>
      </c>
      <c r="AG362" s="2">
        <f t="shared" si="301"/>
        <v>0</v>
      </c>
      <c r="AH362" s="2">
        <f t="shared" si="301"/>
        <v>111.3</v>
      </c>
      <c r="AI362" s="2">
        <f t="shared" si="301"/>
        <v>0</v>
      </c>
      <c r="AJ362" s="2">
        <f t="shared" si="301"/>
        <v>0</v>
      </c>
      <c r="AK362" s="2">
        <f t="shared" si="301"/>
        <v>49654.61</v>
      </c>
      <c r="AL362" s="2">
        <f t="shared" si="301"/>
        <v>7093.52</v>
      </c>
      <c r="AM362" s="2">
        <f t="shared" si="301"/>
        <v>0</v>
      </c>
      <c r="AN362" s="2">
        <f t="shared" si="301"/>
        <v>0</v>
      </c>
      <c r="AO362" s="2">
        <f t="shared" si="301"/>
        <v>0</v>
      </c>
      <c r="AP362" s="2">
        <f t="shared" si="301"/>
        <v>0</v>
      </c>
      <c r="AQ362" s="2">
        <f t="shared" si="301"/>
        <v>0</v>
      </c>
      <c r="AR362" s="2">
        <f t="shared" si="301"/>
        <v>127788.81</v>
      </c>
      <c r="AS362" s="2">
        <f t="shared" si="301"/>
        <v>0</v>
      </c>
      <c r="AT362" s="2">
        <f t="shared" si="301"/>
        <v>0</v>
      </c>
      <c r="AU362" s="2">
        <f t="shared" ref="AU362:BZ362" si="302">AU374</f>
        <v>127788.81</v>
      </c>
      <c r="AV362" s="2">
        <f t="shared" si="302"/>
        <v>25.2</v>
      </c>
      <c r="AW362" s="2">
        <f t="shared" si="302"/>
        <v>25.2</v>
      </c>
      <c r="AX362" s="2">
        <f t="shared" si="302"/>
        <v>0</v>
      </c>
      <c r="AY362" s="2">
        <f t="shared" si="302"/>
        <v>25.2</v>
      </c>
      <c r="AZ362" s="2">
        <f t="shared" si="302"/>
        <v>0</v>
      </c>
      <c r="BA362" s="2">
        <f t="shared" si="302"/>
        <v>0</v>
      </c>
      <c r="BB362" s="2">
        <f t="shared" si="302"/>
        <v>0</v>
      </c>
      <c r="BC362" s="2">
        <f t="shared" si="302"/>
        <v>0</v>
      </c>
      <c r="BD362" s="2">
        <f t="shared" si="302"/>
        <v>0</v>
      </c>
      <c r="BE362" s="2">
        <f t="shared" si="302"/>
        <v>0</v>
      </c>
      <c r="BF362" s="2">
        <f t="shared" si="302"/>
        <v>0</v>
      </c>
      <c r="BG362" s="2">
        <f t="shared" si="302"/>
        <v>0</v>
      </c>
      <c r="BH362" s="2">
        <f t="shared" si="302"/>
        <v>0</v>
      </c>
      <c r="BI362" s="2">
        <f t="shared" si="302"/>
        <v>0</v>
      </c>
      <c r="BJ362" s="2">
        <f t="shared" si="302"/>
        <v>0</v>
      </c>
      <c r="BK362" s="2">
        <f t="shared" si="302"/>
        <v>0</v>
      </c>
      <c r="BL362" s="2">
        <f t="shared" si="302"/>
        <v>0</v>
      </c>
      <c r="BM362" s="2">
        <f t="shared" si="302"/>
        <v>0</v>
      </c>
      <c r="BN362" s="2">
        <f t="shared" si="302"/>
        <v>0</v>
      </c>
      <c r="BO362" s="2">
        <f t="shared" si="302"/>
        <v>0</v>
      </c>
      <c r="BP362" s="2">
        <f t="shared" si="302"/>
        <v>0</v>
      </c>
      <c r="BQ362" s="2">
        <f t="shared" si="302"/>
        <v>0</v>
      </c>
      <c r="BR362" s="2">
        <f t="shared" si="302"/>
        <v>0</v>
      </c>
      <c r="BS362" s="2">
        <f t="shared" si="302"/>
        <v>0</v>
      </c>
      <c r="BT362" s="2">
        <f t="shared" si="302"/>
        <v>0</v>
      </c>
      <c r="BU362" s="2">
        <f t="shared" si="302"/>
        <v>0</v>
      </c>
      <c r="BV362" s="2">
        <f t="shared" si="302"/>
        <v>0</v>
      </c>
      <c r="BW362" s="2">
        <f t="shared" si="302"/>
        <v>0</v>
      </c>
      <c r="BX362" s="2">
        <f t="shared" si="302"/>
        <v>0</v>
      </c>
      <c r="BY362" s="2">
        <f t="shared" si="302"/>
        <v>0</v>
      </c>
      <c r="BZ362" s="2">
        <f t="shared" si="302"/>
        <v>0</v>
      </c>
      <c r="CA362" s="2">
        <f t="shared" ref="CA362:DF362" si="303">CA374</f>
        <v>127788.81</v>
      </c>
      <c r="CB362" s="2">
        <f t="shared" si="303"/>
        <v>0</v>
      </c>
      <c r="CC362" s="2">
        <f t="shared" si="303"/>
        <v>0</v>
      </c>
      <c r="CD362" s="2">
        <f t="shared" si="303"/>
        <v>127788.81</v>
      </c>
      <c r="CE362" s="2">
        <f t="shared" si="303"/>
        <v>25.2</v>
      </c>
      <c r="CF362" s="2">
        <f t="shared" si="303"/>
        <v>25.2</v>
      </c>
      <c r="CG362" s="2">
        <f t="shared" si="303"/>
        <v>0</v>
      </c>
      <c r="CH362" s="2">
        <f t="shared" si="303"/>
        <v>25.2</v>
      </c>
      <c r="CI362" s="2">
        <f t="shared" si="303"/>
        <v>0</v>
      </c>
      <c r="CJ362" s="2">
        <f t="shared" si="303"/>
        <v>0</v>
      </c>
      <c r="CK362" s="2">
        <f t="shared" si="303"/>
        <v>0</v>
      </c>
      <c r="CL362" s="2">
        <f t="shared" si="303"/>
        <v>0</v>
      </c>
      <c r="CM362" s="2">
        <f t="shared" si="303"/>
        <v>0</v>
      </c>
      <c r="CN362" s="2">
        <f t="shared" si="303"/>
        <v>0</v>
      </c>
      <c r="CO362" s="2">
        <f t="shared" si="303"/>
        <v>0</v>
      </c>
      <c r="CP362" s="2">
        <f t="shared" si="303"/>
        <v>0</v>
      </c>
      <c r="CQ362" s="2">
        <f t="shared" si="303"/>
        <v>0</v>
      </c>
      <c r="CR362" s="2">
        <f t="shared" si="303"/>
        <v>0</v>
      </c>
      <c r="CS362" s="2">
        <f t="shared" si="303"/>
        <v>0</v>
      </c>
      <c r="CT362" s="2">
        <f t="shared" si="303"/>
        <v>0</v>
      </c>
      <c r="CU362" s="2">
        <f t="shared" si="303"/>
        <v>0</v>
      </c>
      <c r="CV362" s="2">
        <f t="shared" si="303"/>
        <v>0</v>
      </c>
      <c r="CW362" s="2">
        <f t="shared" si="303"/>
        <v>0</v>
      </c>
      <c r="CX362" s="2">
        <f t="shared" si="303"/>
        <v>0</v>
      </c>
      <c r="CY362" s="2">
        <f t="shared" si="303"/>
        <v>0</v>
      </c>
      <c r="CZ362" s="2">
        <f t="shared" si="303"/>
        <v>0</v>
      </c>
      <c r="DA362" s="2">
        <f t="shared" si="303"/>
        <v>0</v>
      </c>
      <c r="DB362" s="2">
        <f t="shared" si="303"/>
        <v>0</v>
      </c>
      <c r="DC362" s="2">
        <f t="shared" si="303"/>
        <v>0</v>
      </c>
      <c r="DD362" s="2">
        <f t="shared" si="303"/>
        <v>0</v>
      </c>
      <c r="DE362" s="2">
        <f t="shared" si="303"/>
        <v>0</v>
      </c>
      <c r="DF362" s="2">
        <f t="shared" si="303"/>
        <v>0</v>
      </c>
      <c r="DG362" s="3">
        <f t="shared" ref="DG362:EL362" si="304">DG374</f>
        <v>0</v>
      </c>
      <c r="DH362" s="3">
        <f t="shared" si="304"/>
        <v>0</v>
      </c>
      <c r="DI362" s="3">
        <f t="shared" si="304"/>
        <v>0</v>
      </c>
      <c r="DJ362" s="3">
        <f t="shared" si="304"/>
        <v>0</v>
      </c>
      <c r="DK362" s="3">
        <f t="shared" si="304"/>
        <v>0</v>
      </c>
      <c r="DL362" s="3">
        <f t="shared" si="304"/>
        <v>0</v>
      </c>
      <c r="DM362" s="3">
        <f t="shared" si="304"/>
        <v>0</v>
      </c>
      <c r="DN362" s="3">
        <f t="shared" si="304"/>
        <v>0</v>
      </c>
      <c r="DO362" s="3">
        <f t="shared" si="304"/>
        <v>0</v>
      </c>
      <c r="DP362" s="3">
        <f t="shared" si="304"/>
        <v>0</v>
      </c>
      <c r="DQ362" s="3">
        <f t="shared" si="304"/>
        <v>0</v>
      </c>
      <c r="DR362" s="3">
        <f t="shared" si="304"/>
        <v>0</v>
      </c>
      <c r="DS362" s="3">
        <f t="shared" si="304"/>
        <v>0</v>
      </c>
      <c r="DT362" s="3">
        <f t="shared" si="304"/>
        <v>0</v>
      </c>
      <c r="DU362" s="3">
        <f t="shared" si="304"/>
        <v>0</v>
      </c>
      <c r="DV362" s="3">
        <f t="shared" si="304"/>
        <v>0</v>
      </c>
      <c r="DW362" s="3">
        <f t="shared" si="304"/>
        <v>0</v>
      </c>
      <c r="DX362" s="3">
        <f t="shared" si="304"/>
        <v>0</v>
      </c>
      <c r="DY362" s="3">
        <f t="shared" si="304"/>
        <v>0</v>
      </c>
      <c r="DZ362" s="3">
        <f t="shared" si="304"/>
        <v>0</v>
      </c>
      <c r="EA362" s="3">
        <f t="shared" si="304"/>
        <v>0</v>
      </c>
      <c r="EB362" s="3">
        <f t="shared" si="304"/>
        <v>0</v>
      </c>
      <c r="EC362" s="3">
        <f t="shared" si="304"/>
        <v>0</v>
      </c>
      <c r="ED362" s="3">
        <f t="shared" si="304"/>
        <v>0</v>
      </c>
      <c r="EE362" s="3">
        <f t="shared" si="304"/>
        <v>0</v>
      </c>
      <c r="EF362" s="3">
        <f t="shared" si="304"/>
        <v>0</v>
      </c>
      <c r="EG362" s="3">
        <f t="shared" si="304"/>
        <v>0</v>
      </c>
      <c r="EH362" s="3">
        <f t="shared" si="304"/>
        <v>0</v>
      </c>
      <c r="EI362" s="3">
        <f t="shared" si="304"/>
        <v>0</v>
      </c>
      <c r="EJ362" s="3">
        <f t="shared" si="304"/>
        <v>0</v>
      </c>
      <c r="EK362" s="3">
        <f t="shared" si="304"/>
        <v>0</v>
      </c>
      <c r="EL362" s="3">
        <f t="shared" si="304"/>
        <v>0</v>
      </c>
      <c r="EM362" s="3">
        <f t="shared" ref="EM362:FR362" si="305">EM374</f>
        <v>0</v>
      </c>
      <c r="EN362" s="3">
        <f t="shared" si="305"/>
        <v>0</v>
      </c>
      <c r="EO362" s="3">
        <f t="shared" si="305"/>
        <v>0</v>
      </c>
      <c r="EP362" s="3">
        <f t="shared" si="305"/>
        <v>0</v>
      </c>
      <c r="EQ362" s="3">
        <f t="shared" si="305"/>
        <v>0</v>
      </c>
      <c r="ER362" s="3">
        <f t="shared" si="305"/>
        <v>0</v>
      </c>
      <c r="ES362" s="3">
        <f t="shared" si="305"/>
        <v>0</v>
      </c>
      <c r="ET362" s="3">
        <f t="shared" si="305"/>
        <v>0</v>
      </c>
      <c r="EU362" s="3">
        <f t="shared" si="305"/>
        <v>0</v>
      </c>
      <c r="EV362" s="3">
        <f t="shared" si="305"/>
        <v>0</v>
      </c>
      <c r="EW362" s="3">
        <f t="shared" si="305"/>
        <v>0</v>
      </c>
      <c r="EX362" s="3">
        <f t="shared" si="305"/>
        <v>0</v>
      </c>
      <c r="EY362" s="3">
        <f t="shared" si="305"/>
        <v>0</v>
      </c>
      <c r="EZ362" s="3">
        <f t="shared" si="305"/>
        <v>0</v>
      </c>
      <c r="FA362" s="3">
        <f t="shared" si="305"/>
        <v>0</v>
      </c>
      <c r="FB362" s="3">
        <f t="shared" si="305"/>
        <v>0</v>
      </c>
      <c r="FC362" s="3">
        <f t="shared" si="305"/>
        <v>0</v>
      </c>
      <c r="FD362" s="3">
        <f t="shared" si="305"/>
        <v>0</v>
      </c>
      <c r="FE362" s="3">
        <f t="shared" si="305"/>
        <v>0</v>
      </c>
      <c r="FF362" s="3">
        <f t="shared" si="305"/>
        <v>0</v>
      </c>
      <c r="FG362" s="3">
        <f t="shared" si="305"/>
        <v>0</v>
      </c>
      <c r="FH362" s="3">
        <f t="shared" si="305"/>
        <v>0</v>
      </c>
      <c r="FI362" s="3">
        <f t="shared" si="305"/>
        <v>0</v>
      </c>
      <c r="FJ362" s="3">
        <f t="shared" si="305"/>
        <v>0</v>
      </c>
      <c r="FK362" s="3">
        <f t="shared" si="305"/>
        <v>0</v>
      </c>
      <c r="FL362" s="3">
        <f t="shared" si="305"/>
        <v>0</v>
      </c>
      <c r="FM362" s="3">
        <f t="shared" si="305"/>
        <v>0</v>
      </c>
      <c r="FN362" s="3">
        <f t="shared" si="305"/>
        <v>0</v>
      </c>
      <c r="FO362" s="3">
        <f t="shared" si="305"/>
        <v>0</v>
      </c>
      <c r="FP362" s="3">
        <f t="shared" si="305"/>
        <v>0</v>
      </c>
      <c r="FQ362" s="3">
        <f t="shared" si="305"/>
        <v>0</v>
      </c>
      <c r="FR362" s="3">
        <f t="shared" si="305"/>
        <v>0</v>
      </c>
      <c r="FS362" s="3">
        <f t="shared" ref="FS362:GX362" si="306">FS374</f>
        <v>0</v>
      </c>
      <c r="FT362" s="3">
        <f t="shared" si="306"/>
        <v>0</v>
      </c>
      <c r="FU362" s="3">
        <f t="shared" si="306"/>
        <v>0</v>
      </c>
      <c r="FV362" s="3">
        <f t="shared" si="306"/>
        <v>0</v>
      </c>
      <c r="FW362" s="3">
        <f t="shared" si="306"/>
        <v>0</v>
      </c>
      <c r="FX362" s="3">
        <f t="shared" si="306"/>
        <v>0</v>
      </c>
      <c r="FY362" s="3">
        <f t="shared" si="306"/>
        <v>0</v>
      </c>
      <c r="FZ362" s="3">
        <f t="shared" si="306"/>
        <v>0</v>
      </c>
      <c r="GA362" s="3">
        <f t="shared" si="306"/>
        <v>0</v>
      </c>
      <c r="GB362" s="3">
        <f t="shared" si="306"/>
        <v>0</v>
      </c>
      <c r="GC362" s="3">
        <f t="shared" si="306"/>
        <v>0</v>
      </c>
      <c r="GD362" s="3">
        <f t="shared" si="306"/>
        <v>0</v>
      </c>
      <c r="GE362" s="3">
        <f t="shared" si="306"/>
        <v>0</v>
      </c>
      <c r="GF362" s="3">
        <f t="shared" si="306"/>
        <v>0</v>
      </c>
      <c r="GG362" s="3">
        <f t="shared" si="306"/>
        <v>0</v>
      </c>
      <c r="GH362" s="3">
        <f t="shared" si="306"/>
        <v>0</v>
      </c>
      <c r="GI362" s="3">
        <f t="shared" si="306"/>
        <v>0</v>
      </c>
      <c r="GJ362" s="3">
        <f t="shared" si="306"/>
        <v>0</v>
      </c>
      <c r="GK362" s="3">
        <f t="shared" si="306"/>
        <v>0</v>
      </c>
      <c r="GL362" s="3">
        <f t="shared" si="306"/>
        <v>0</v>
      </c>
      <c r="GM362" s="3">
        <f t="shared" si="306"/>
        <v>0</v>
      </c>
      <c r="GN362" s="3">
        <f t="shared" si="306"/>
        <v>0</v>
      </c>
      <c r="GO362" s="3">
        <f t="shared" si="306"/>
        <v>0</v>
      </c>
      <c r="GP362" s="3">
        <f t="shared" si="306"/>
        <v>0</v>
      </c>
      <c r="GQ362" s="3">
        <f t="shared" si="306"/>
        <v>0</v>
      </c>
      <c r="GR362" s="3">
        <f t="shared" si="306"/>
        <v>0</v>
      </c>
      <c r="GS362" s="3">
        <f t="shared" si="306"/>
        <v>0</v>
      </c>
      <c r="GT362" s="3">
        <f t="shared" si="306"/>
        <v>0</v>
      </c>
      <c r="GU362" s="3">
        <f t="shared" si="306"/>
        <v>0</v>
      </c>
      <c r="GV362" s="3">
        <f t="shared" si="306"/>
        <v>0</v>
      </c>
      <c r="GW362" s="3">
        <f t="shared" si="306"/>
        <v>0</v>
      </c>
      <c r="GX362" s="3">
        <f t="shared" si="306"/>
        <v>0</v>
      </c>
    </row>
    <row r="364" spans="1:245" x14ac:dyDescent="0.2">
      <c r="A364">
        <v>17</v>
      </c>
      <c r="B364">
        <v>1</v>
      </c>
      <c r="D364">
        <f>ROW(EtalonRes!A181)</f>
        <v>181</v>
      </c>
      <c r="E364" t="s">
        <v>3</v>
      </c>
      <c r="F364" t="s">
        <v>165</v>
      </c>
      <c r="G364" t="s">
        <v>166</v>
      </c>
      <c r="H364" t="s">
        <v>36</v>
      </c>
      <c r="I364">
        <f t="shared" ref="I364:I370" si="307">ROUND(1*15,9)</f>
        <v>15</v>
      </c>
      <c r="J364">
        <v>0</v>
      </c>
      <c r="K364">
        <f t="shared" ref="K364:K370" si="308">ROUND(1*15,9)</f>
        <v>15</v>
      </c>
      <c r="O364">
        <f t="shared" ref="O364:O372" si="309">ROUND(CP364,2)</f>
        <v>18247.2</v>
      </c>
      <c r="P364">
        <f t="shared" ref="P364:P372" si="310">ROUND(CQ364*I364,2)</f>
        <v>0</v>
      </c>
      <c r="Q364">
        <f t="shared" ref="Q364:Q372" si="311">ROUND(CR364*I364,2)</f>
        <v>0</v>
      </c>
      <c r="R364">
        <f t="shared" ref="R364:R372" si="312">ROUND(CS364*I364,2)</f>
        <v>0</v>
      </c>
      <c r="S364">
        <f t="shared" ref="S364:S372" si="313">ROUND(CT364*I364,2)</f>
        <v>18247.2</v>
      </c>
      <c r="T364">
        <f t="shared" ref="T364:T372" si="314">ROUND(CU364*I364,2)</f>
        <v>0</v>
      </c>
      <c r="U364">
        <f t="shared" ref="U364:U372" si="315">CV364*I364</f>
        <v>30</v>
      </c>
      <c r="V364">
        <f t="shared" ref="V364:V372" si="316">CW364*I364</f>
        <v>0</v>
      </c>
      <c r="W364">
        <f t="shared" ref="W364:W372" si="317">ROUND(CX364*I364,2)</f>
        <v>0</v>
      </c>
      <c r="X364">
        <f t="shared" ref="X364:X372" si="318">ROUND(CY364,2)</f>
        <v>12773.04</v>
      </c>
      <c r="Y364">
        <f t="shared" ref="Y364:Y372" si="319">ROUND(CZ364,2)</f>
        <v>1824.72</v>
      </c>
      <c r="AA364">
        <v>-1</v>
      </c>
      <c r="AB364">
        <f t="shared" ref="AB364:AB372" si="320">ROUND((AC364+AD364+AF364),6)</f>
        <v>1216.48</v>
      </c>
      <c r="AC364">
        <f>ROUND(((ES364*4)),6)</f>
        <v>0</v>
      </c>
      <c r="AD364">
        <f>ROUND(((((ET364*4))-((EU364*4)))+AE364),6)</f>
        <v>0</v>
      </c>
      <c r="AE364">
        <f>ROUND(((EU364*4)),6)</f>
        <v>0</v>
      </c>
      <c r="AF364">
        <f>ROUND(((EV364*4)),6)</f>
        <v>1216.48</v>
      </c>
      <c r="AG364">
        <f t="shared" ref="AG364:AG372" si="321">ROUND((AP364),6)</f>
        <v>0</v>
      </c>
      <c r="AH364">
        <f>((EW364*4))</f>
        <v>2</v>
      </c>
      <c r="AI364">
        <f>((EX364*4))</f>
        <v>0</v>
      </c>
      <c r="AJ364">
        <f t="shared" ref="AJ364:AJ372" si="322">(AS364)</f>
        <v>0</v>
      </c>
      <c r="AK364">
        <v>304.12</v>
      </c>
      <c r="AL364">
        <v>0</v>
      </c>
      <c r="AM364">
        <v>0</v>
      </c>
      <c r="AN364">
        <v>0</v>
      </c>
      <c r="AO364">
        <v>304.12</v>
      </c>
      <c r="AP364">
        <v>0</v>
      </c>
      <c r="AQ364">
        <v>0.5</v>
      </c>
      <c r="AR364">
        <v>0</v>
      </c>
      <c r="AS364">
        <v>0</v>
      </c>
      <c r="AT364">
        <v>70</v>
      </c>
      <c r="AU364">
        <v>10</v>
      </c>
      <c r="AV364">
        <v>1</v>
      </c>
      <c r="AW364">
        <v>1</v>
      </c>
      <c r="AZ364">
        <v>1</v>
      </c>
      <c r="BA364">
        <v>1</v>
      </c>
      <c r="BB364">
        <v>1</v>
      </c>
      <c r="BC364">
        <v>1</v>
      </c>
      <c r="BD364" t="s">
        <v>3</v>
      </c>
      <c r="BE364" t="s">
        <v>3</v>
      </c>
      <c r="BF364" t="s">
        <v>3</v>
      </c>
      <c r="BG364" t="s">
        <v>3</v>
      </c>
      <c r="BH364">
        <v>0</v>
      </c>
      <c r="BI364">
        <v>4</v>
      </c>
      <c r="BJ364" t="s">
        <v>167</v>
      </c>
      <c r="BM364">
        <v>0</v>
      </c>
      <c r="BN364">
        <v>0</v>
      </c>
      <c r="BO364" t="s">
        <v>3</v>
      </c>
      <c r="BP364">
        <v>0</v>
      </c>
      <c r="BQ364">
        <v>1</v>
      </c>
      <c r="BR364">
        <v>0</v>
      </c>
      <c r="BS364">
        <v>1</v>
      </c>
      <c r="BT364">
        <v>1</v>
      </c>
      <c r="BU364">
        <v>1</v>
      </c>
      <c r="BV364">
        <v>1</v>
      </c>
      <c r="BW364">
        <v>1</v>
      </c>
      <c r="BX364">
        <v>1</v>
      </c>
      <c r="BY364" t="s">
        <v>3</v>
      </c>
      <c r="BZ364">
        <v>70</v>
      </c>
      <c r="CA364">
        <v>10</v>
      </c>
      <c r="CB364" t="s">
        <v>3</v>
      </c>
      <c r="CE364">
        <v>0</v>
      </c>
      <c r="CF364">
        <v>0</v>
      </c>
      <c r="CG364">
        <v>0</v>
      </c>
      <c r="CM364">
        <v>0</v>
      </c>
      <c r="CN364" t="s">
        <v>3</v>
      </c>
      <c r="CO364">
        <v>0</v>
      </c>
      <c r="CP364">
        <f t="shared" ref="CP364:CP372" si="323">(P364+Q364+S364)</f>
        <v>18247.2</v>
      </c>
      <c r="CQ364">
        <f t="shared" ref="CQ364:CQ372" si="324">(AC364*BC364*AW364)</f>
        <v>0</v>
      </c>
      <c r="CR364">
        <f>(((((ET364*4))*BB364-((EU364*4))*BS364)+AE364*BS364)*AV364)</f>
        <v>0</v>
      </c>
      <c r="CS364">
        <f t="shared" ref="CS364:CS372" si="325">(AE364*BS364*AV364)</f>
        <v>0</v>
      </c>
      <c r="CT364">
        <f t="shared" ref="CT364:CT372" si="326">(AF364*BA364*AV364)</f>
        <v>1216.48</v>
      </c>
      <c r="CU364">
        <f t="shared" ref="CU364:CU372" si="327">AG364</f>
        <v>0</v>
      </c>
      <c r="CV364">
        <f t="shared" ref="CV364:CV372" si="328">(AH364*AV364)</f>
        <v>2</v>
      </c>
      <c r="CW364">
        <f t="shared" ref="CW364:CW372" si="329">AI364</f>
        <v>0</v>
      </c>
      <c r="CX364">
        <f t="shared" ref="CX364:CX372" si="330">AJ364</f>
        <v>0</v>
      </c>
      <c r="CY364">
        <f t="shared" ref="CY364:CY372" si="331">((S364*BZ364)/100)</f>
        <v>12773.04</v>
      </c>
      <c r="CZ364">
        <f t="shared" ref="CZ364:CZ372" si="332">((S364*CA364)/100)</f>
        <v>1824.72</v>
      </c>
      <c r="DC364" t="s">
        <v>3</v>
      </c>
      <c r="DD364" t="s">
        <v>20</v>
      </c>
      <c r="DE364" t="s">
        <v>20</v>
      </c>
      <c r="DF364" t="s">
        <v>20</v>
      </c>
      <c r="DG364" t="s">
        <v>20</v>
      </c>
      <c r="DH364" t="s">
        <v>3</v>
      </c>
      <c r="DI364" t="s">
        <v>20</v>
      </c>
      <c r="DJ364" t="s">
        <v>20</v>
      </c>
      <c r="DK364" t="s">
        <v>3</v>
      </c>
      <c r="DL364" t="s">
        <v>3</v>
      </c>
      <c r="DM364" t="s">
        <v>3</v>
      </c>
      <c r="DN364">
        <v>0</v>
      </c>
      <c r="DO364">
        <v>0</v>
      </c>
      <c r="DP364">
        <v>1</v>
      </c>
      <c r="DQ364">
        <v>1</v>
      </c>
      <c r="DU364">
        <v>16987630</v>
      </c>
      <c r="DV364" t="s">
        <v>36</v>
      </c>
      <c r="DW364" t="s">
        <v>36</v>
      </c>
      <c r="DX364">
        <v>1</v>
      </c>
      <c r="DZ364" t="s">
        <v>3</v>
      </c>
      <c r="EA364" t="s">
        <v>3</v>
      </c>
      <c r="EB364" t="s">
        <v>3</v>
      </c>
      <c r="EC364" t="s">
        <v>3</v>
      </c>
      <c r="EE364">
        <v>1441815344</v>
      </c>
      <c r="EF364">
        <v>1</v>
      </c>
      <c r="EG364" t="s">
        <v>21</v>
      </c>
      <c r="EH364">
        <v>0</v>
      </c>
      <c r="EI364" t="s">
        <v>3</v>
      </c>
      <c r="EJ364">
        <v>4</v>
      </c>
      <c r="EK364">
        <v>0</v>
      </c>
      <c r="EL364" t="s">
        <v>22</v>
      </c>
      <c r="EM364" t="s">
        <v>23</v>
      </c>
      <c r="EO364" t="s">
        <v>3</v>
      </c>
      <c r="EQ364">
        <v>1024</v>
      </c>
      <c r="ER364">
        <v>304.12</v>
      </c>
      <c r="ES364">
        <v>0</v>
      </c>
      <c r="ET364">
        <v>0</v>
      </c>
      <c r="EU364">
        <v>0</v>
      </c>
      <c r="EV364">
        <v>304.12</v>
      </c>
      <c r="EW364">
        <v>0.5</v>
      </c>
      <c r="EX364">
        <v>0</v>
      </c>
      <c r="EY364">
        <v>0</v>
      </c>
      <c r="FQ364">
        <v>0</v>
      </c>
      <c r="FR364">
        <f t="shared" ref="FR364:FR372" si="333">ROUND(IF(BI364=3,GM364,0),2)</f>
        <v>0</v>
      </c>
      <c r="FS364">
        <v>0</v>
      </c>
      <c r="FX364">
        <v>70</v>
      </c>
      <c r="FY364">
        <v>10</v>
      </c>
      <c r="GA364" t="s">
        <v>3</v>
      </c>
      <c r="GD364">
        <v>0</v>
      </c>
      <c r="GF364">
        <v>-964383457</v>
      </c>
      <c r="GG364">
        <v>2</v>
      </c>
      <c r="GH364">
        <v>1</v>
      </c>
      <c r="GI364">
        <v>-2</v>
      </c>
      <c r="GJ364">
        <v>0</v>
      </c>
      <c r="GK364">
        <f>ROUND(R364*(R12)/100,2)</f>
        <v>0</v>
      </c>
      <c r="GL364">
        <f t="shared" ref="GL364:GL372" si="334">ROUND(IF(AND(BH364=3,BI364=3,FS364&lt;&gt;0),P364,0),2)</f>
        <v>0</v>
      </c>
      <c r="GM364">
        <f t="shared" ref="GM364:GM372" si="335">ROUND(O364+X364+Y364+GK364,2)+GX364</f>
        <v>32844.959999999999</v>
      </c>
      <c r="GN364">
        <f t="shared" ref="GN364:GN372" si="336">IF(OR(BI364=0,BI364=1),GM364-GX364,0)</f>
        <v>0</v>
      </c>
      <c r="GO364">
        <f t="shared" ref="GO364:GO372" si="337">IF(BI364=2,GM364-GX364,0)</f>
        <v>0</v>
      </c>
      <c r="GP364">
        <f t="shared" ref="GP364:GP372" si="338">IF(BI364=4,GM364-GX364,0)</f>
        <v>32844.959999999999</v>
      </c>
      <c r="GR364">
        <v>0</v>
      </c>
      <c r="GS364">
        <v>3</v>
      </c>
      <c r="GT364">
        <v>0</v>
      </c>
      <c r="GU364" t="s">
        <v>3</v>
      </c>
      <c r="GV364">
        <f t="shared" ref="GV364:GV372" si="339">ROUND((GT364),6)</f>
        <v>0</v>
      </c>
      <c r="GW364">
        <v>1</v>
      </c>
      <c r="GX364">
        <f t="shared" ref="GX364:GX372" si="340">ROUND(HC364*I364,2)</f>
        <v>0</v>
      </c>
      <c r="HA364">
        <v>0</v>
      </c>
      <c r="HB364">
        <v>0</v>
      </c>
      <c r="HC364">
        <f t="shared" ref="HC364:HC372" si="341">GV364*GW364</f>
        <v>0</v>
      </c>
      <c r="HE364" t="s">
        <v>3</v>
      </c>
      <c r="HF364" t="s">
        <v>3</v>
      </c>
      <c r="HM364" t="s">
        <v>3</v>
      </c>
      <c r="HN364" t="s">
        <v>3</v>
      </c>
      <c r="HO364" t="s">
        <v>3</v>
      </c>
      <c r="HP364" t="s">
        <v>3</v>
      </c>
      <c r="HQ364" t="s">
        <v>3</v>
      </c>
      <c r="IK364">
        <v>0</v>
      </c>
    </row>
    <row r="365" spans="1:245" x14ac:dyDescent="0.2">
      <c r="A365">
        <v>17</v>
      </c>
      <c r="B365">
        <v>1</v>
      </c>
      <c r="D365">
        <f>ROW(EtalonRes!A182)</f>
        <v>182</v>
      </c>
      <c r="E365" t="s">
        <v>316</v>
      </c>
      <c r="F365" t="s">
        <v>169</v>
      </c>
      <c r="G365" t="s">
        <v>170</v>
      </c>
      <c r="H365" t="s">
        <v>36</v>
      </c>
      <c r="I365">
        <f t="shared" si="307"/>
        <v>15</v>
      </c>
      <c r="J365">
        <v>0</v>
      </c>
      <c r="K365">
        <f t="shared" si="308"/>
        <v>15</v>
      </c>
      <c r="O365">
        <f t="shared" si="309"/>
        <v>32115.9</v>
      </c>
      <c r="P365">
        <f t="shared" si="310"/>
        <v>0</v>
      </c>
      <c r="Q365">
        <f t="shared" si="311"/>
        <v>0</v>
      </c>
      <c r="R365">
        <f t="shared" si="312"/>
        <v>0</v>
      </c>
      <c r="S365">
        <f t="shared" si="313"/>
        <v>32115.9</v>
      </c>
      <c r="T365">
        <f t="shared" si="314"/>
        <v>0</v>
      </c>
      <c r="U365">
        <f t="shared" si="315"/>
        <v>52.8</v>
      </c>
      <c r="V365">
        <f t="shared" si="316"/>
        <v>0</v>
      </c>
      <c r="W365">
        <f t="shared" si="317"/>
        <v>0</v>
      </c>
      <c r="X365">
        <f t="shared" si="318"/>
        <v>22481.13</v>
      </c>
      <c r="Y365">
        <f t="shared" si="319"/>
        <v>3211.59</v>
      </c>
      <c r="AA365">
        <v>1471718271</v>
      </c>
      <c r="AB365">
        <f t="shared" si="320"/>
        <v>2141.06</v>
      </c>
      <c r="AC365">
        <f>ROUND(((ES365*2)),6)</f>
        <v>0</v>
      </c>
      <c r="AD365">
        <f>ROUND(((((ET365*2))-((EU365*2)))+AE365),6)</f>
        <v>0</v>
      </c>
      <c r="AE365">
        <f>ROUND(((EU365*2)),6)</f>
        <v>0</v>
      </c>
      <c r="AF365">
        <f>ROUND(((EV365*2)),6)</f>
        <v>2141.06</v>
      </c>
      <c r="AG365">
        <f t="shared" si="321"/>
        <v>0</v>
      </c>
      <c r="AH365">
        <f>((EW365*2))</f>
        <v>3.52</v>
      </c>
      <c r="AI365">
        <f>((EX365*2))</f>
        <v>0</v>
      </c>
      <c r="AJ365">
        <f t="shared" si="322"/>
        <v>0</v>
      </c>
      <c r="AK365">
        <v>1070.53</v>
      </c>
      <c r="AL365">
        <v>0</v>
      </c>
      <c r="AM365">
        <v>0</v>
      </c>
      <c r="AN365">
        <v>0</v>
      </c>
      <c r="AO365">
        <v>1070.53</v>
      </c>
      <c r="AP365">
        <v>0</v>
      </c>
      <c r="AQ365">
        <v>1.76</v>
      </c>
      <c r="AR365">
        <v>0</v>
      </c>
      <c r="AS365">
        <v>0</v>
      </c>
      <c r="AT365">
        <v>70</v>
      </c>
      <c r="AU365">
        <v>10</v>
      </c>
      <c r="AV365">
        <v>1</v>
      </c>
      <c r="AW365">
        <v>1</v>
      </c>
      <c r="AZ365">
        <v>1</v>
      </c>
      <c r="BA365">
        <v>1</v>
      </c>
      <c r="BB365">
        <v>1</v>
      </c>
      <c r="BC365">
        <v>1</v>
      </c>
      <c r="BD365" t="s">
        <v>3</v>
      </c>
      <c r="BE365" t="s">
        <v>3</v>
      </c>
      <c r="BF365" t="s">
        <v>3</v>
      </c>
      <c r="BG365" t="s">
        <v>3</v>
      </c>
      <c r="BH365">
        <v>0</v>
      </c>
      <c r="BI365">
        <v>4</v>
      </c>
      <c r="BJ365" t="s">
        <v>171</v>
      </c>
      <c r="BM365">
        <v>0</v>
      </c>
      <c r="BN365">
        <v>0</v>
      </c>
      <c r="BO365" t="s">
        <v>3</v>
      </c>
      <c r="BP365">
        <v>0</v>
      </c>
      <c r="BQ365">
        <v>1</v>
      </c>
      <c r="BR365">
        <v>0</v>
      </c>
      <c r="BS365">
        <v>1</v>
      </c>
      <c r="BT365">
        <v>1</v>
      </c>
      <c r="BU365">
        <v>1</v>
      </c>
      <c r="BV365">
        <v>1</v>
      </c>
      <c r="BW365">
        <v>1</v>
      </c>
      <c r="BX365">
        <v>1</v>
      </c>
      <c r="BY365" t="s">
        <v>3</v>
      </c>
      <c r="BZ365">
        <v>70</v>
      </c>
      <c r="CA365">
        <v>10</v>
      </c>
      <c r="CB365" t="s">
        <v>3</v>
      </c>
      <c r="CE365">
        <v>0</v>
      </c>
      <c r="CF365">
        <v>0</v>
      </c>
      <c r="CG365">
        <v>0</v>
      </c>
      <c r="CM365">
        <v>0</v>
      </c>
      <c r="CN365" t="s">
        <v>3</v>
      </c>
      <c r="CO365">
        <v>0</v>
      </c>
      <c r="CP365">
        <f t="shared" si="323"/>
        <v>32115.9</v>
      </c>
      <c r="CQ365">
        <f t="shared" si="324"/>
        <v>0</v>
      </c>
      <c r="CR365">
        <f>(((((ET365*2))*BB365-((EU365*2))*BS365)+AE365*BS365)*AV365)</f>
        <v>0</v>
      </c>
      <c r="CS365">
        <f t="shared" si="325"/>
        <v>0</v>
      </c>
      <c r="CT365">
        <f t="shared" si="326"/>
        <v>2141.06</v>
      </c>
      <c r="CU365">
        <f t="shared" si="327"/>
        <v>0</v>
      </c>
      <c r="CV365">
        <f t="shared" si="328"/>
        <v>3.52</v>
      </c>
      <c r="CW365">
        <f t="shared" si="329"/>
        <v>0</v>
      </c>
      <c r="CX365">
        <f t="shared" si="330"/>
        <v>0</v>
      </c>
      <c r="CY365">
        <f t="shared" si="331"/>
        <v>22481.13</v>
      </c>
      <c r="CZ365">
        <f t="shared" si="332"/>
        <v>3211.59</v>
      </c>
      <c r="DC365" t="s">
        <v>3</v>
      </c>
      <c r="DD365" t="s">
        <v>42</v>
      </c>
      <c r="DE365" t="s">
        <v>42</v>
      </c>
      <c r="DF365" t="s">
        <v>42</v>
      </c>
      <c r="DG365" t="s">
        <v>42</v>
      </c>
      <c r="DH365" t="s">
        <v>3</v>
      </c>
      <c r="DI365" t="s">
        <v>42</v>
      </c>
      <c r="DJ365" t="s">
        <v>42</v>
      </c>
      <c r="DK365" t="s">
        <v>3</v>
      </c>
      <c r="DL365" t="s">
        <v>3</v>
      </c>
      <c r="DM365" t="s">
        <v>3</v>
      </c>
      <c r="DN365">
        <v>0</v>
      </c>
      <c r="DO365">
        <v>0</v>
      </c>
      <c r="DP365">
        <v>1</v>
      </c>
      <c r="DQ365">
        <v>1</v>
      </c>
      <c r="DU365">
        <v>16987630</v>
      </c>
      <c r="DV365" t="s">
        <v>36</v>
      </c>
      <c r="DW365" t="s">
        <v>36</v>
      </c>
      <c r="DX365">
        <v>1</v>
      </c>
      <c r="DZ365" t="s">
        <v>3</v>
      </c>
      <c r="EA365" t="s">
        <v>3</v>
      </c>
      <c r="EB365" t="s">
        <v>3</v>
      </c>
      <c r="EC365" t="s">
        <v>3</v>
      </c>
      <c r="EE365">
        <v>1441815344</v>
      </c>
      <c r="EF365">
        <v>1</v>
      </c>
      <c r="EG365" t="s">
        <v>21</v>
      </c>
      <c r="EH365">
        <v>0</v>
      </c>
      <c r="EI365" t="s">
        <v>3</v>
      </c>
      <c r="EJ365">
        <v>4</v>
      </c>
      <c r="EK365">
        <v>0</v>
      </c>
      <c r="EL365" t="s">
        <v>22</v>
      </c>
      <c r="EM365" t="s">
        <v>23</v>
      </c>
      <c r="EO365" t="s">
        <v>3</v>
      </c>
      <c r="EQ365">
        <v>0</v>
      </c>
      <c r="ER365">
        <v>1070.53</v>
      </c>
      <c r="ES365">
        <v>0</v>
      </c>
      <c r="ET365">
        <v>0</v>
      </c>
      <c r="EU365">
        <v>0</v>
      </c>
      <c r="EV365">
        <v>1070.53</v>
      </c>
      <c r="EW365">
        <v>1.76</v>
      </c>
      <c r="EX365">
        <v>0</v>
      </c>
      <c r="EY365">
        <v>0</v>
      </c>
      <c r="FQ365">
        <v>0</v>
      </c>
      <c r="FR365">
        <f t="shared" si="333"/>
        <v>0</v>
      </c>
      <c r="FS365">
        <v>0</v>
      </c>
      <c r="FX365">
        <v>70</v>
      </c>
      <c r="FY365">
        <v>10</v>
      </c>
      <c r="GA365" t="s">
        <v>3</v>
      </c>
      <c r="GD365">
        <v>0</v>
      </c>
      <c r="GF365">
        <v>-1392204801</v>
      </c>
      <c r="GG365">
        <v>2</v>
      </c>
      <c r="GH365">
        <v>1</v>
      </c>
      <c r="GI365">
        <v>-2</v>
      </c>
      <c r="GJ365">
        <v>0</v>
      </c>
      <c r="GK365">
        <f>ROUND(R365*(R12)/100,2)</f>
        <v>0</v>
      </c>
      <c r="GL365">
        <f t="shared" si="334"/>
        <v>0</v>
      </c>
      <c r="GM365">
        <f t="shared" si="335"/>
        <v>57808.62</v>
      </c>
      <c r="GN365">
        <f t="shared" si="336"/>
        <v>0</v>
      </c>
      <c r="GO365">
        <f t="shared" si="337"/>
        <v>0</v>
      </c>
      <c r="GP365">
        <f t="shared" si="338"/>
        <v>57808.62</v>
      </c>
      <c r="GR365">
        <v>0</v>
      </c>
      <c r="GS365">
        <v>3</v>
      </c>
      <c r="GT365">
        <v>0</v>
      </c>
      <c r="GU365" t="s">
        <v>3</v>
      </c>
      <c r="GV365">
        <f t="shared" si="339"/>
        <v>0</v>
      </c>
      <c r="GW365">
        <v>1</v>
      </c>
      <c r="GX365">
        <f t="shared" si="340"/>
        <v>0</v>
      </c>
      <c r="HA365">
        <v>0</v>
      </c>
      <c r="HB365">
        <v>0</v>
      </c>
      <c r="HC365">
        <f t="shared" si="341"/>
        <v>0</v>
      </c>
      <c r="HE365" t="s">
        <v>3</v>
      </c>
      <c r="HF365" t="s">
        <v>3</v>
      </c>
      <c r="HM365" t="s">
        <v>3</v>
      </c>
      <c r="HN365" t="s">
        <v>3</v>
      </c>
      <c r="HO365" t="s">
        <v>3</v>
      </c>
      <c r="HP365" t="s">
        <v>3</v>
      </c>
      <c r="HQ365" t="s">
        <v>3</v>
      </c>
      <c r="IK365">
        <v>0</v>
      </c>
    </row>
    <row r="366" spans="1:245" x14ac:dyDescent="0.2">
      <c r="A366">
        <v>17</v>
      </c>
      <c r="B366">
        <v>1</v>
      </c>
      <c r="D366">
        <f>ROW(EtalonRes!A185)</f>
        <v>185</v>
      </c>
      <c r="E366" t="s">
        <v>3</v>
      </c>
      <c r="F366" t="s">
        <v>172</v>
      </c>
      <c r="G366" t="s">
        <v>173</v>
      </c>
      <c r="H366" t="s">
        <v>36</v>
      </c>
      <c r="I366">
        <f t="shared" si="307"/>
        <v>15</v>
      </c>
      <c r="J366">
        <v>0</v>
      </c>
      <c r="K366">
        <f t="shared" si="308"/>
        <v>15</v>
      </c>
      <c r="O366">
        <f t="shared" si="309"/>
        <v>30918.3</v>
      </c>
      <c r="P366">
        <f t="shared" si="310"/>
        <v>79.650000000000006</v>
      </c>
      <c r="Q366">
        <f t="shared" si="311"/>
        <v>0</v>
      </c>
      <c r="R366">
        <f t="shared" si="312"/>
        <v>0</v>
      </c>
      <c r="S366">
        <f t="shared" si="313"/>
        <v>30838.65</v>
      </c>
      <c r="T366">
        <f t="shared" si="314"/>
        <v>0</v>
      </c>
      <c r="U366">
        <f t="shared" si="315"/>
        <v>50.699999999999996</v>
      </c>
      <c r="V366">
        <f t="shared" si="316"/>
        <v>0</v>
      </c>
      <c r="W366">
        <f t="shared" si="317"/>
        <v>0</v>
      </c>
      <c r="X366">
        <f t="shared" si="318"/>
        <v>21587.06</v>
      </c>
      <c r="Y366">
        <f t="shared" si="319"/>
        <v>3083.87</v>
      </c>
      <c r="AA366">
        <v>-1</v>
      </c>
      <c r="AB366">
        <f t="shared" si="320"/>
        <v>2061.2199999999998</v>
      </c>
      <c r="AC366">
        <f>ROUND((ES366),6)</f>
        <v>5.31</v>
      </c>
      <c r="AD366">
        <f>ROUND((((ET366)-(EU366))+AE366),6)</f>
        <v>0</v>
      </c>
      <c r="AE366">
        <f>ROUND((EU366),6)</f>
        <v>0</v>
      </c>
      <c r="AF366">
        <f>ROUND((EV366),6)</f>
        <v>2055.91</v>
      </c>
      <c r="AG366">
        <f t="shared" si="321"/>
        <v>0</v>
      </c>
      <c r="AH366">
        <f>(EW366)</f>
        <v>3.38</v>
      </c>
      <c r="AI366">
        <f>(EX366)</f>
        <v>0</v>
      </c>
      <c r="AJ366">
        <f t="shared" si="322"/>
        <v>0</v>
      </c>
      <c r="AK366">
        <v>2061.2199999999998</v>
      </c>
      <c r="AL366">
        <v>5.31</v>
      </c>
      <c r="AM366">
        <v>0</v>
      </c>
      <c r="AN366">
        <v>0</v>
      </c>
      <c r="AO366">
        <v>2055.91</v>
      </c>
      <c r="AP366">
        <v>0</v>
      </c>
      <c r="AQ366">
        <v>3.38</v>
      </c>
      <c r="AR366">
        <v>0</v>
      </c>
      <c r="AS366">
        <v>0</v>
      </c>
      <c r="AT366">
        <v>70</v>
      </c>
      <c r="AU366">
        <v>10</v>
      </c>
      <c r="AV366">
        <v>1</v>
      </c>
      <c r="AW366">
        <v>1</v>
      </c>
      <c r="AZ366">
        <v>1</v>
      </c>
      <c r="BA366">
        <v>1</v>
      </c>
      <c r="BB366">
        <v>1</v>
      </c>
      <c r="BC366">
        <v>1</v>
      </c>
      <c r="BD366" t="s">
        <v>3</v>
      </c>
      <c r="BE366" t="s">
        <v>3</v>
      </c>
      <c r="BF366" t="s">
        <v>3</v>
      </c>
      <c r="BG366" t="s">
        <v>3</v>
      </c>
      <c r="BH366">
        <v>0</v>
      </c>
      <c r="BI366">
        <v>4</v>
      </c>
      <c r="BJ366" t="s">
        <v>174</v>
      </c>
      <c r="BM366">
        <v>0</v>
      </c>
      <c r="BN366">
        <v>0</v>
      </c>
      <c r="BO366" t="s">
        <v>3</v>
      </c>
      <c r="BP366">
        <v>0</v>
      </c>
      <c r="BQ366">
        <v>1</v>
      </c>
      <c r="BR366">
        <v>0</v>
      </c>
      <c r="BS366">
        <v>1</v>
      </c>
      <c r="BT366">
        <v>1</v>
      </c>
      <c r="BU366">
        <v>1</v>
      </c>
      <c r="BV366">
        <v>1</v>
      </c>
      <c r="BW366">
        <v>1</v>
      </c>
      <c r="BX366">
        <v>1</v>
      </c>
      <c r="BY366" t="s">
        <v>3</v>
      </c>
      <c r="BZ366">
        <v>70</v>
      </c>
      <c r="CA366">
        <v>10</v>
      </c>
      <c r="CB366" t="s">
        <v>3</v>
      </c>
      <c r="CE366">
        <v>0</v>
      </c>
      <c r="CF366">
        <v>0</v>
      </c>
      <c r="CG366">
        <v>0</v>
      </c>
      <c r="CM366">
        <v>0</v>
      </c>
      <c r="CN366" t="s">
        <v>3</v>
      </c>
      <c r="CO366">
        <v>0</v>
      </c>
      <c r="CP366">
        <f t="shared" si="323"/>
        <v>30918.300000000003</v>
      </c>
      <c r="CQ366">
        <f t="shared" si="324"/>
        <v>5.31</v>
      </c>
      <c r="CR366">
        <f>((((ET366)*BB366-(EU366)*BS366)+AE366*BS366)*AV366)</f>
        <v>0</v>
      </c>
      <c r="CS366">
        <f t="shared" si="325"/>
        <v>0</v>
      </c>
      <c r="CT366">
        <f t="shared" si="326"/>
        <v>2055.91</v>
      </c>
      <c r="CU366">
        <f t="shared" si="327"/>
        <v>0</v>
      </c>
      <c r="CV366">
        <f t="shared" si="328"/>
        <v>3.38</v>
      </c>
      <c r="CW366">
        <f t="shared" si="329"/>
        <v>0</v>
      </c>
      <c r="CX366">
        <f t="shared" si="330"/>
        <v>0</v>
      </c>
      <c r="CY366">
        <f t="shared" si="331"/>
        <v>21587.055</v>
      </c>
      <c r="CZ366">
        <f t="shared" si="332"/>
        <v>3083.8649999999998</v>
      </c>
      <c r="DC366" t="s">
        <v>3</v>
      </c>
      <c r="DD366" t="s">
        <v>3</v>
      </c>
      <c r="DE366" t="s">
        <v>3</v>
      </c>
      <c r="DF366" t="s">
        <v>3</v>
      </c>
      <c r="DG366" t="s">
        <v>3</v>
      </c>
      <c r="DH366" t="s">
        <v>3</v>
      </c>
      <c r="DI366" t="s">
        <v>3</v>
      </c>
      <c r="DJ366" t="s">
        <v>3</v>
      </c>
      <c r="DK366" t="s">
        <v>3</v>
      </c>
      <c r="DL366" t="s">
        <v>3</v>
      </c>
      <c r="DM366" t="s">
        <v>3</v>
      </c>
      <c r="DN366">
        <v>0</v>
      </c>
      <c r="DO366">
        <v>0</v>
      </c>
      <c r="DP366">
        <v>1</v>
      </c>
      <c r="DQ366">
        <v>1</v>
      </c>
      <c r="DU366">
        <v>16987630</v>
      </c>
      <c r="DV366" t="s">
        <v>36</v>
      </c>
      <c r="DW366" t="s">
        <v>36</v>
      </c>
      <c r="DX366">
        <v>1</v>
      </c>
      <c r="DZ366" t="s">
        <v>3</v>
      </c>
      <c r="EA366" t="s">
        <v>3</v>
      </c>
      <c r="EB366" t="s">
        <v>3</v>
      </c>
      <c r="EC366" t="s">
        <v>3</v>
      </c>
      <c r="EE366">
        <v>1441815344</v>
      </c>
      <c r="EF366">
        <v>1</v>
      </c>
      <c r="EG366" t="s">
        <v>21</v>
      </c>
      <c r="EH366">
        <v>0</v>
      </c>
      <c r="EI366" t="s">
        <v>3</v>
      </c>
      <c r="EJ366">
        <v>4</v>
      </c>
      <c r="EK366">
        <v>0</v>
      </c>
      <c r="EL366" t="s">
        <v>22</v>
      </c>
      <c r="EM366" t="s">
        <v>23</v>
      </c>
      <c r="EO366" t="s">
        <v>3</v>
      </c>
      <c r="EQ366">
        <v>1311744</v>
      </c>
      <c r="ER366">
        <v>2061.2199999999998</v>
      </c>
      <c r="ES366">
        <v>5.31</v>
      </c>
      <c r="ET366">
        <v>0</v>
      </c>
      <c r="EU366">
        <v>0</v>
      </c>
      <c r="EV366">
        <v>2055.91</v>
      </c>
      <c r="EW366">
        <v>3.38</v>
      </c>
      <c r="EX366">
        <v>0</v>
      </c>
      <c r="EY366">
        <v>0</v>
      </c>
      <c r="FQ366">
        <v>0</v>
      </c>
      <c r="FR366">
        <f t="shared" si="333"/>
        <v>0</v>
      </c>
      <c r="FS366">
        <v>0</v>
      </c>
      <c r="FX366">
        <v>70</v>
      </c>
      <c r="FY366">
        <v>10</v>
      </c>
      <c r="GA366" t="s">
        <v>3</v>
      </c>
      <c r="GD366">
        <v>0</v>
      </c>
      <c r="GF366">
        <v>734292325</v>
      </c>
      <c r="GG366">
        <v>2</v>
      </c>
      <c r="GH366">
        <v>1</v>
      </c>
      <c r="GI366">
        <v>-2</v>
      </c>
      <c r="GJ366">
        <v>0</v>
      </c>
      <c r="GK366">
        <f>ROUND(R366*(R12)/100,2)</f>
        <v>0</v>
      </c>
      <c r="GL366">
        <f t="shared" si="334"/>
        <v>0</v>
      </c>
      <c r="GM366">
        <f t="shared" si="335"/>
        <v>55589.23</v>
      </c>
      <c r="GN366">
        <f t="shared" si="336"/>
        <v>0</v>
      </c>
      <c r="GO366">
        <f t="shared" si="337"/>
        <v>0</v>
      </c>
      <c r="GP366">
        <f t="shared" si="338"/>
        <v>55589.23</v>
      </c>
      <c r="GR366">
        <v>0</v>
      </c>
      <c r="GS366">
        <v>3</v>
      </c>
      <c r="GT366">
        <v>0</v>
      </c>
      <c r="GU366" t="s">
        <v>3</v>
      </c>
      <c r="GV366">
        <f t="shared" si="339"/>
        <v>0</v>
      </c>
      <c r="GW366">
        <v>1</v>
      </c>
      <c r="GX366">
        <f t="shared" si="340"/>
        <v>0</v>
      </c>
      <c r="HA366">
        <v>0</v>
      </c>
      <c r="HB366">
        <v>0</v>
      </c>
      <c r="HC366">
        <f t="shared" si="341"/>
        <v>0</v>
      </c>
      <c r="HE366" t="s">
        <v>3</v>
      </c>
      <c r="HF366" t="s">
        <v>3</v>
      </c>
      <c r="HM366" t="s">
        <v>3</v>
      </c>
      <c r="HN366" t="s">
        <v>3</v>
      </c>
      <c r="HO366" t="s">
        <v>3</v>
      </c>
      <c r="HP366" t="s">
        <v>3</v>
      </c>
      <c r="HQ366" t="s">
        <v>3</v>
      </c>
      <c r="IK366">
        <v>0</v>
      </c>
    </row>
    <row r="367" spans="1:245" x14ac:dyDescent="0.2">
      <c r="A367">
        <v>17</v>
      </c>
      <c r="B367">
        <v>1</v>
      </c>
      <c r="D367">
        <f>ROW(EtalonRes!A189)</f>
        <v>189</v>
      </c>
      <c r="E367" t="s">
        <v>317</v>
      </c>
      <c r="F367" t="s">
        <v>176</v>
      </c>
      <c r="G367" t="s">
        <v>177</v>
      </c>
      <c r="H367" t="s">
        <v>178</v>
      </c>
      <c r="I367">
        <f t="shared" si="307"/>
        <v>15</v>
      </c>
      <c r="J367">
        <v>0</v>
      </c>
      <c r="K367">
        <f t="shared" si="308"/>
        <v>15</v>
      </c>
      <c r="O367">
        <f t="shared" si="309"/>
        <v>14172.15</v>
      </c>
      <c r="P367">
        <f t="shared" si="310"/>
        <v>11.1</v>
      </c>
      <c r="Q367">
        <f t="shared" si="311"/>
        <v>26.85</v>
      </c>
      <c r="R367">
        <f t="shared" si="312"/>
        <v>0.3</v>
      </c>
      <c r="S367">
        <f t="shared" si="313"/>
        <v>14134.2</v>
      </c>
      <c r="T367">
        <f t="shared" si="314"/>
        <v>0</v>
      </c>
      <c r="U367">
        <f t="shared" si="315"/>
        <v>21.299999999999997</v>
      </c>
      <c r="V367">
        <f t="shared" si="316"/>
        <v>0</v>
      </c>
      <c r="W367">
        <f t="shared" si="317"/>
        <v>0</v>
      </c>
      <c r="X367">
        <f t="shared" si="318"/>
        <v>9893.94</v>
      </c>
      <c r="Y367">
        <f t="shared" si="319"/>
        <v>1413.42</v>
      </c>
      <c r="AA367">
        <v>1471718271</v>
      </c>
      <c r="AB367">
        <f t="shared" si="320"/>
        <v>944.81</v>
      </c>
      <c r="AC367">
        <f>ROUND((ES367),6)</f>
        <v>0.74</v>
      </c>
      <c r="AD367">
        <f>ROUND((((ET367)-(EU367))+AE367),6)</f>
        <v>1.79</v>
      </c>
      <c r="AE367">
        <f>ROUND((EU367),6)</f>
        <v>0.02</v>
      </c>
      <c r="AF367">
        <f>ROUND((EV367),6)</f>
        <v>942.28</v>
      </c>
      <c r="AG367">
        <f t="shared" si="321"/>
        <v>0</v>
      </c>
      <c r="AH367">
        <f>(EW367)</f>
        <v>1.42</v>
      </c>
      <c r="AI367">
        <f>(EX367)</f>
        <v>0</v>
      </c>
      <c r="AJ367">
        <f t="shared" si="322"/>
        <v>0</v>
      </c>
      <c r="AK367">
        <v>944.81</v>
      </c>
      <c r="AL367">
        <v>0.74</v>
      </c>
      <c r="AM367">
        <v>1.79</v>
      </c>
      <c r="AN367">
        <v>0.02</v>
      </c>
      <c r="AO367">
        <v>942.28</v>
      </c>
      <c r="AP367">
        <v>0</v>
      </c>
      <c r="AQ367">
        <v>1.42</v>
      </c>
      <c r="AR367">
        <v>0</v>
      </c>
      <c r="AS367">
        <v>0</v>
      </c>
      <c r="AT367">
        <v>70</v>
      </c>
      <c r="AU367">
        <v>10</v>
      </c>
      <c r="AV367">
        <v>1</v>
      </c>
      <c r="AW367">
        <v>1</v>
      </c>
      <c r="AZ367">
        <v>1</v>
      </c>
      <c r="BA367">
        <v>1</v>
      </c>
      <c r="BB367">
        <v>1</v>
      </c>
      <c r="BC367">
        <v>1</v>
      </c>
      <c r="BD367" t="s">
        <v>3</v>
      </c>
      <c r="BE367" t="s">
        <v>3</v>
      </c>
      <c r="BF367" t="s">
        <v>3</v>
      </c>
      <c r="BG367" t="s">
        <v>3</v>
      </c>
      <c r="BH367">
        <v>0</v>
      </c>
      <c r="BI367">
        <v>4</v>
      </c>
      <c r="BJ367" t="s">
        <v>179</v>
      </c>
      <c r="BM367">
        <v>0</v>
      </c>
      <c r="BN367">
        <v>0</v>
      </c>
      <c r="BO367" t="s">
        <v>3</v>
      </c>
      <c r="BP367">
        <v>0</v>
      </c>
      <c r="BQ367">
        <v>1</v>
      </c>
      <c r="BR367">
        <v>0</v>
      </c>
      <c r="BS367">
        <v>1</v>
      </c>
      <c r="BT367">
        <v>1</v>
      </c>
      <c r="BU367">
        <v>1</v>
      </c>
      <c r="BV367">
        <v>1</v>
      </c>
      <c r="BW367">
        <v>1</v>
      </c>
      <c r="BX367">
        <v>1</v>
      </c>
      <c r="BY367" t="s">
        <v>3</v>
      </c>
      <c r="BZ367">
        <v>70</v>
      </c>
      <c r="CA367">
        <v>10</v>
      </c>
      <c r="CB367" t="s">
        <v>3</v>
      </c>
      <c r="CE367">
        <v>0</v>
      </c>
      <c r="CF367">
        <v>0</v>
      </c>
      <c r="CG367">
        <v>0</v>
      </c>
      <c r="CM367">
        <v>0</v>
      </c>
      <c r="CN367" t="s">
        <v>3</v>
      </c>
      <c r="CO367">
        <v>0</v>
      </c>
      <c r="CP367">
        <f t="shared" si="323"/>
        <v>14172.150000000001</v>
      </c>
      <c r="CQ367">
        <f t="shared" si="324"/>
        <v>0.74</v>
      </c>
      <c r="CR367">
        <f>((((ET367)*BB367-(EU367)*BS367)+AE367*BS367)*AV367)</f>
        <v>1.79</v>
      </c>
      <c r="CS367">
        <f t="shared" si="325"/>
        <v>0.02</v>
      </c>
      <c r="CT367">
        <f t="shared" si="326"/>
        <v>942.28</v>
      </c>
      <c r="CU367">
        <f t="shared" si="327"/>
        <v>0</v>
      </c>
      <c r="CV367">
        <f t="shared" si="328"/>
        <v>1.42</v>
      </c>
      <c r="CW367">
        <f t="shared" si="329"/>
        <v>0</v>
      </c>
      <c r="CX367">
        <f t="shared" si="330"/>
        <v>0</v>
      </c>
      <c r="CY367">
        <f t="shared" si="331"/>
        <v>9893.94</v>
      </c>
      <c r="CZ367">
        <f t="shared" si="332"/>
        <v>1413.42</v>
      </c>
      <c r="DC367" t="s">
        <v>3</v>
      </c>
      <c r="DD367" t="s">
        <v>3</v>
      </c>
      <c r="DE367" t="s">
        <v>3</v>
      </c>
      <c r="DF367" t="s">
        <v>3</v>
      </c>
      <c r="DG367" t="s">
        <v>3</v>
      </c>
      <c r="DH367" t="s">
        <v>3</v>
      </c>
      <c r="DI367" t="s">
        <v>3</v>
      </c>
      <c r="DJ367" t="s">
        <v>3</v>
      </c>
      <c r="DK367" t="s">
        <v>3</v>
      </c>
      <c r="DL367" t="s">
        <v>3</v>
      </c>
      <c r="DM367" t="s">
        <v>3</v>
      </c>
      <c r="DN367">
        <v>0</v>
      </c>
      <c r="DO367">
        <v>0</v>
      </c>
      <c r="DP367">
        <v>1</v>
      </c>
      <c r="DQ367">
        <v>1</v>
      </c>
      <c r="DU367">
        <v>1013</v>
      </c>
      <c r="DV367" t="s">
        <v>178</v>
      </c>
      <c r="DW367" t="s">
        <v>178</v>
      </c>
      <c r="DX367">
        <v>1</v>
      </c>
      <c r="DZ367" t="s">
        <v>3</v>
      </c>
      <c r="EA367" t="s">
        <v>3</v>
      </c>
      <c r="EB367" t="s">
        <v>3</v>
      </c>
      <c r="EC367" t="s">
        <v>3</v>
      </c>
      <c r="EE367">
        <v>1441815344</v>
      </c>
      <c r="EF367">
        <v>1</v>
      </c>
      <c r="EG367" t="s">
        <v>21</v>
      </c>
      <c r="EH367">
        <v>0</v>
      </c>
      <c r="EI367" t="s">
        <v>3</v>
      </c>
      <c r="EJ367">
        <v>4</v>
      </c>
      <c r="EK367">
        <v>0</v>
      </c>
      <c r="EL367" t="s">
        <v>22</v>
      </c>
      <c r="EM367" t="s">
        <v>23</v>
      </c>
      <c r="EO367" t="s">
        <v>3</v>
      </c>
      <c r="EQ367">
        <v>0</v>
      </c>
      <c r="ER367">
        <v>944.81</v>
      </c>
      <c r="ES367">
        <v>0.74</v>
      </c>
      <c r="ET367">
        <v>1.79</v>
      </c>
      <c r="EU367">
        <v>0.02</v>
      </c>
      <c r="EV367">
        <v>942.28</v>
      </c>
      <c r="EW367">
        <v>1.42</v>
      </c>
      <c r="EX367">
        <v>0</v>
      </c>
      <c r="EY367">
        <v>0</v>
      </c>
      <c r="FQ367">
        <v>0</v>
      </c>
      <c r="FR367">
        <f t="shared" si="333"/>
        <v>0</v>
      </c>
      <c r="FS367">
        <v>0</v>
      </c>
      <c r="FX367">
        <v>70</v>
      </c>
      <c r="FY367">
        <v>10</v>
      </c>
      <c r="GA367" t="s">
        <v>3</v>
      </c>
      <c r="GD367">
        <v>0</v>
      </c>
      <c r="GF367">
        <v>-1859605603</v>
      </c>
      <c r="GG367">
        <v>2</v>
      </c>
      <c r="GH367">
        <v>1</v>
      </c>
      <c r="GI367">
        <v>-2</v>
      </c>
      <c r="GJ367">
        <v>0</v>
      </c>
      <c r="GK367">
        <f>ROUND(R367*(R12)/100,2)</f>
        <v>0.32</v>
      </c>
      <c r="GL367">
        <f t="shared" si="334"/>
        <v>0</v>
      </c>
      <c r="GM367">
        <f t="shared" si="335"/>
        <v>25479.83</v>
      </c>
      <c r="GN367">
        <f t="shared" si="336"/>
        <v>0</v>
      </c>
      <c r="GO367">
        <f t="shared" si="337"/>
        <v>0</v>
      </c>
      <c r="GP367">
        <f t="shared" si="338"/>
        <v>25479.83</v>
      </c>
      <c r="GR367">
        <v>0</v>
      </c>
      <c r="GS367">
        <v>3</v>
      </c>
      <c r="GT367">
        <v>0</v>
      </c>
      <c r="GU367" t="s">
        <v>3</v>
      </c>
      <c r="GV367">
        <f t="shared" si="339"/>
        <v>0</v>
      </c>
      <c r="GW367">
        <v>1</v>
      </c>
      <c r="GX367">
        <f t="shared" si="340"/>
        <v>0</v>
      </c>
      <c r="HA367">
        <v>0</v>
      </c>
      <c r="HB367">
        <v>0</v>
      </c>
      <c r="HC367">
        <f t="shared" si="341"/>
        <v>0</v>
      </c>
      <c r="HE367" t="s">
        <v>3</v>
      </c>
      <c r="HF367" t="s">
        <v>3</v>
      </c>
      <c r="HM367" t="s">
        <v>3</v>
      </c>
      <c r="HN367" t="s">
        <v>3</v>
      </c>
      <c r="HO367" t="s">
        <v>3</v>
      </c>
      <c r="HP367" t="s">
        <v>3</v>
      </c>
      <c r="HQ367" t="s">
        <v>3</v>
      </c>
      <c r="IK367">
        <v>0</v>
      </c>
    </row>
    <row r="368" spans="1:245" x14ac:dyDescent="0.2">
      <c r="A368">
        <v>17</v>
      </c>
      <c r="B368">
        <v>1</v>
      </c>
      <c r="D368">
        <f>ROW(EtalonRes!A191)</f>
        <v>191</v>
      </c>
      <c r="E368" t="s">
        <v>3</v>
      </c>
      <c r="F368" t="s">
        <v>180</v>
      </c>
      <c r="G368" t="s">
        <v>181</v>
      </c>
      <c r="H368" t="s">
        <v>178</v>
      </c>
      <c r="I368">
        <f t="shared" si="307"/>
        <v>15</v>
      </c>
      <c r="J368">
        <v>0</v>
      </c>
      <c r="K368">
        <f t="shared" si="308"/>
        <v>15</v>
      </c>
      <c r="O368">
        <f t="shared" si="309"/>
        <v>23305.5</v>
      </c>
      <c r="P368">
        <f t="shared" si="310"/>
        <v>13.95</v>
      </c>
      <c r="Q368">
        <f t="shared" si="311"/>
        <v>0</v>
      </c>
      <c r="R368">
        <f t="shared" si="312"/>
        <v>0</v>
      </c>
      <c r="S368">
        <f t="shared" si="313"/>
        <v>23291.55</v>
      </c>
      <c r="T368">
        <f t="shared" si="314"/>
        <v>0</v>
      </c>
      <c r="U368">
        <f t="shared" si="315"/>
        <v>35.099999999999994</v>
      </c>
      <c r="V368">
        <f t="shared" si="316"/>
        <v>0</v>
      </c>
      <c r="W368">
        <f t="shared" si="317"/>
        <v>0</v>
      </c>
      <c r="X368">
        <f t="shared" si="318"/>
        <v>16304.09</v>
      </c>
      <c r="Y368">
        <f t="shared" si="319"/>
        <v>2329.16</v>
      </c>
      <c r="AA368">
        <v>-1</v>
      </c>
      <c r="AB368">
        <f t="shared" si="320"/>
        <v>1553.7</v>
      </c>
      <c r="AC368">
        <f>ROUND(((ES368*3)),6)</f>
        <v>0.93</v>
      </c>
      <c r="AD368">
        <f>ROUND(((((ET368*3))-((EU368*3)))+AE368),6)</f>
        <v>0</v>
      </c>
      <c r="AE368">
        <f>ROUND(((EU368*3)),6)</f>
        <v>0</v>
      </c>
      <c r="AF368">
        <f>ROUND(((EV368*3)),6)</f>
        <v>1552.77</v>
      </c>
      <c r="AG368">
        <f t="shared" si="321"/>
        <v>0</v>
      </c>
      <c r="AH368">
        <f>((EW368*3))</f>
        <v>2.34</v>
      </c>
      <c r="AI368">
        <f>((EX368*3))</f>
        <v>0</v>
      </c>
      <c r="AJ368">
        <f t="shared" si="322"/>
        <v>0</v>
      </c>
      <c r="AK368">
        <v>517.9</v>
      </c>
      <c r="AL368">
        <v>0.31</v>
      </c>
      <c r="AM368">
        <v>0</v>
      </c>
      <c r="AN368">
        <v>0</v>
      </c>
      <c r="AO368">
        <v>517.59</v>
      </c>
      <c r="AP368">
        <v>0</v>
      </c>
      <c r="AQ368">
        <v>0.78</v>
      </c>
      <c r="AR368">
        <v>0</v>
      </c>
      <c r="AS368">
        <v>0</v>
      </c>
      <c r="AT368">
        <v>70</v>
      </c>
      <c r="AU368">
        <v>10</v>
      </c>
      <c r="AV368">
        <v>1</v>
      </c>
      <c r="AW368">
        <v>1</v>
      </c>
      <c r="AZ368">
        <v>1</v>
      </c>
      <c r="BA368">
        <v>1</v>
      </c>
      <c r="BB368">
        <v>1</v>
      </c>
      <c r="BC368">
        <v>1</v>
      </c>
      <c r="BD368" t="s">
        <v>3</v>
      </c>
      <c r="BE368" t="s">
        <v>3</v>
      </c>
      <c r="BF368" t="s">
        <v>3</v>
      </c>
      <c r="BG368" t="s">
        <v>3</v>
      </c>
      <c r="BH368">
        <v>0</v>
      </c>
      <c r="BI368">
        <v>4</v>
      </c>
      <c r="BJ368" t="s">
        <v>182</v>
      </c>
      <c r="BM368">
        <v>0</v>
      </c>
      <c r="BN368">
        <v>0</v>
      </c>
      <c r="BO368" t="s">
        <v>3</v>
      </c>
      <c r="BP368">
        <v>0</v>
      </c>
      <c r="BQ368">
        <v>1</v>
      </c>
      <c r="BR368">
        <v>0</v>
      </c>
      <c r="BS368">
        <v>1</v>
      </c>
      <c r="BT368">
        <v>1</v>
      </c>
      <c r="BU368">
        <v>1</v>
      </c>
      <c r="BV368">
        <v>1</v>
      </c>
      <c r="BW368">
        <v>1</v>
      </c>
      <c r="BX368">
        <v>1</v>
      </c>
      <c r="BY368" t="s">
        <v>3</v>
      </c>
      <c r="BZ368">
        <v>70</v>
      </c>
      <c r="CA368">
        <v>10</v>
      </c>
      <c r="CB368" t="s">
        <v>3</v>
      </c>
      <c r="CE368">
        <v>0</v>
      </c>
      <c r="CF368">
        <v>0</v>
      </c>
      <c r="CG368">
        <v>0</v>
      </c>
      <c r="CM368">
        <v>0</v>
      </c>
      <c r="CN368" t="s">
        <v>3</v>
      </c>
      <c r="CO368">
        <v>0</v>
      </c>
      <c r="CP368">
        <f t="shared" si="323"/>
        <v>23305.5</v>
      </c>
      <c r="CQ368">
        <f t="shared" si="324"/>
        <v>0.93</v>
      </c>
      <c r="CR368">
        <f>(((((ET368*3))*BB368-((EU368*3))*BS368)+AE368*BS368)*AV368)</f>
        <v>0</v>
      </c>
      <c r="CS368">
        <f t="shared" si="325"/>
        <v>0</v>
      </c>
      <c r="CT368">
        <f t="shared" si="326"/>
        <v>1552.77</v>
      </c>
      <c r="CU368">
        <f t="shared" si="327"/>
        <v>0</v>
      </c>
      <c r="CV368">
        <f t="shared" si="328"/>
        <v>2.34</v>
      </c>
      <c r="CW368">
        <f t="shared" si="329"/>
        <v>0</v>
      </c>
      <c r="CX368">
        <f t="shared" si="330"/>
        <v>0</v>
      </c>
      <c r="CY368">
        <f t="shared" si="331"/>
        <v>16304.084999999999</v>
      </c>
      <c r="CZ368">
        <f t="shared" si="332"/>
        <v>2329.1550000000002</v>
      </c>
      <c r="DC368" t="s">
        <v>3</v>
      </c>
      <c r="DD368" t="s">
        <v>163</v>
      </c>
      <c r="DE368" t="s">
        <v>163</v>
      </c>
      <c r="DF368" t="s">
        <v>163</v>
      </c>
      <c r="DG368" t="s">
        <v>163</v>
      </c>
      <c r="DH368" t="s">
        <v>3</v>
      </c>
      <c r="DI368" t="s">
        <v>163</v>
      </c>
      <c r="DJ368" t="s">
        <v>163</v>
      </c>
      <c r="DK368" t="s">
        <v>3</v>
      </c>
      <c r="DL368" t="s">
        <v>3</v>
      </c>
      <c r="DM368" t="s">
        <v>3</v>
      </c>
      <c r="DN368">
        <v>0</v>
      </c>
      <c r="DO368">
        <v>0</v>
      </c>
      <c r="DP368">
        <v>1</v>
      </c>
      <c r="DQ368">
        <v>1</v>
      </c>
      <c r="DU368">
        <v>1013</v>
      </c>
      <c r="DV368" t="s">
        <v>178</v>
      </c>
      <c r="DW368" t="s">
        <v>178</v>
      </c>
      <c r="DX368">
        <v>1</v>
      </c>
      <c r="DZ368" t="s">
        <v>3</v>
      </c>
      <c r="EA368" t="s">
        <v>3</v>
      </c>
      <c r="EB368" t="s">
        <v>3</v>
      </c>
      <c r="EC368" t="s">
        <v>3</v>
      </c>
      <c r="EE368">
        <v>1441815344</v>
      </c>
      <c r="EF368">
        <v>1</v>
      </c>
      <c r="EG368" t="s">
        <v>21</v>
      </c>
      <c r="EH368">
        <v>0</v>
      </c>
      <c r="EI368" t="s">
        <v>3</v>
      </c>
      <c r="EJ368">
        <v>4</v>
      </c>
      <c r="EK368">
        <v>0</v>
      </c>
      <c r="EL368" t="s">
        <v>22</v>
      </c>
      <c r="EM368" t="s">
        <v>23</v>
      </c>
      <c r="EO368" t="s">
        <v>3</v>
      </c>
      <c r="EQ368">
        <v>1024</v>
      </c>
      <c r="ER368">
        <v>517.9</v>
      </c>
      <c r="ES368">
        <v>0.31</v>
      </c>
      <c r="ET368">
        <v>0</v>
      </c>
      <c r="EU368">
        <v>0</v>
      </c>
      <c r="EV368">
        <v>517.59</v>
      </c>
      <c r="EW368">
        <v>0.78</v>
      </c>
      <c r="EX368">
        <v>0</v>
      </c>
      <c r="EY368">
        <v>0</v>
      </c>
      <c r="FQ368">
        <v>0</v>
      </c>
      <c r="FR368">
        <f t="shared" si="333"/>
        <v>0</v>
      </c>
      <c r="FS368">
        <v>0</v>
      </c>
      <c r="FX368">
        <v>70</v>
      </c>
      <c r="FY368">
        <v>10</v>
      </c>
      <c r="GA368" t="s">
        <v>3</v>
      </c>
      <c r="GD368">
        <v>0</v>
      </c>
      <c r="GF368">
        <v>1835675401</v>
      </c>
      <c r="GG368">
        <v>2</v>
      </c>
      <c r="GH368">
        <v>1</v>
      </c>
      <c r="GI368">
        <v>-2</v>
      </c>
      <c r="GJ368">
        <v>0</v>
      </c>
      <c r="GK368">
        <f>ROUND(R368*(R12)/100,2)</f>
        <v>0</v>
      </c>
      <c r="GL368">
        <f t="shared" si="334"/>
        <v>0</v>
      </c>
      <c r="GM368">
        <f t="shared" si="335"/>
        <v>41938.75</v>
      </c>
      <c r="GN368">
        <f t="shared" si="336"/>
        <v>0</v>
      </c>
      <c r="GO368">
        <f t="shared" si="337"/>
        <v>0</v>
      </c>
      <c r="GP368">
        <f t="shared" si="338"/>
        <v>41938.75</v>
      </c>
      <c r="GR368">
        <v>0</v>
      </c>
      <c r="GS368">
        <v>3</v>
      </c>
      <c r="GT368">
        <v>0</v>
      </c>
      <c r="GU368" t="s">
        <v>3</v>
      </c>
      <c r="GV368">
        <f t="shared" si="339"/>
        <v>0</v>
      </c>
      <c r="GW368">
        <v>1</v>
      </c>
      <c r="GX368">
        <f t="shared" si="340"/>
        <v>0</v>
      </c>
      <c r="HA368">
        <v>0</v>
      </c>
      <c r="HB368">
        <v>0</v>
      </c>
      <c r="HC368">
        <f t="shared" si="341"/>
        <v>0</v>
      </c>
      <c r="HE368" t="s">
        <v>3</v>
      </c>
      <c r="HF368" t="s">
        <v>3</v>
      </c>
      <c r="HM368" t="s">
        <v>3</v>
      </c>
      <c r="HN368" t="s">
        <v>3</v>
      </c>
      <c r="HO368" t="s">
        <v>3</v>
      </c>
      <c r="HP368" t="s">
        <v>3</v>
      </c>
      <c r="HQ368" t="s">
        <v>3</v>
      </c>
      <c r="IK368">
        <v>0</v>
      </c>
    </row>
    <row r="369" spans="1:245" x14ac:dyDescent="0.2">
      <c r="A369">
        <v>17</v>
      </c>
      <c r="B369">
        <v>1</v>
      </c>
      <c r="D369">
        <f>ROW(EtalonRes!A194)</f>
        <v>194</v>
      </c>
      <c r="E369" t="s">
        <v>318</v>
      </c>
      <c r="F369" t="s">
        <v>184</v>
      </c>
      <c r="G369" t="s">
        <v>185</v>
      </c>
      <c r="H369" t="s">
        <v>178</v>
      </c>
      <c r="I369">
        <f t="shared" si="307"/>
        <v>15</v>
      </c>
      <c r="J369">
        <v>0</v>
      </c>
      <c r="K369">
        <f t="shared" si="308"/>
        <v>15</v>
      </c>
      <c r="O369">
        <f t="shared" si="309"/>
        <v>24751.5</v>
      </c>
      <c r="P369">
        <f t="shared" si="310"/>
        <v>14.1</v>
      </c>
      <c r="Q369">
        <f t="shared" si="311"/>
        <v>52.35</v>
      </c>
      <c r="R369">
        <f t="shared" si="312"/>
        <v>0.75</v>
      </c>
      <c r="S369">
        <f t="shared" si="313"/>
        <v>24685.05</v>
      </c>
      <c r="T369">
        <f t="shared" si="314"/>
        <v>0</v>
      </c>
      <c r="U369">
        <f t="shared" si="315"/>
        <v>37.200000000000003</v>
      </c>
      <c r="V369">
        <f t="shared" si="316"/>
        <v>0</v>
      </c>
      <c r="W369">
        <f t="shared" si="317"/>
        <v>0</v>
      </c>
      <c r="X369">
        <f t="shared" si="318"/>
        <v>17279.54</v>
      </c>
      <c r="Y369">
        <f t="shared" si="319"/>
        <v>2468.5100000000002</v>
      </c>
      <c r="AA369">
        <v>1471718271</v>
      </c>
      <c r="AB369">
        <f t="shared" si="320"/>
        <v>1650.1</v>
      </c>
      <c r="AC369">
        <f>ROUND((ES369),6)</f>
        <v>0.94</v>
      </c>
      <c r="AD369">
        <f>ROUND((((ET369)-(EU369))+AE369),6)</f>
        <v>3.49</v>
      </c>
      <c r="AE369">
        <f>ROUND((EU369),6)</f>
        <v>0.05</v>
      </c>
      <c r="AF369">
        <f>ROUND((EV369),6)</f>
        <v>1645.67</v>
      </c>
      <c r="AG369">
        <f t="shared" si="321"/>
        <v>0</v>
      </c>
      <c r="AH369">
        <f>(EW369)</f>
        <v>2.48</v>
      </c>
      <c r="AI369">
        <f>(EX369)</f>
        <v>0</v>
      </c>
      <c r="AJ369">
        <f t="shared" si="322"/>
        <v>0</v>
      </c>
      <c r="AK369">
        <v>1650.1</v>
      </c>
      <c r="AL369">
        <v>0.94</v>
      </c>
      <c r="AM369">
        <v>3.49</v>
      </c>
      <c r="AN369">
        <v>0.05</v>
      </c>
      <c r="AO369">
        <v>1645.67</v>
      </c>
      <c r="AP369">
        <v>0</v>
      </c>
      <c r="AQ369">
        <v>2.48</v>
      </c>
      <c r="AR369">
        <v>0</v>
      </c>
      <c r="AS369">
        <v>0</v>
      </c>
      <c r="AT369">
        <v>70</v>
      </c>
      <c r="AU369">
        <v>10</v>
      </c>
      <c r="AV369">
        <v>1</v>
      </c>
      <c r="AW369">
        <v>1</v>
      </c>
      <c r="AZ369">
        <v>1</v>
      </c>
      <c r="BA369">
        <v>1</v>
      </c>
      <c r="BB369">
        <v>1</v>
      </c>
      <c r="BC369">
        <v>1</v>
      </c>
      <c r="BD369" t="s">
        <v>3</v>
      </c>
      <c r="BE369" t="s">
        <v>3</v>
      </c>
      <c r="BF369" t="s">
        <v>3</v>
      </c>
      <c r="BG369" t="s">
        <v>3</v>
      </c>
      <c r="BH369">
        <v>0</v>
      </c>
      <c r="BI369">
        <v>4</v>
      </c>
      <c r="BJ369" t="s">
        <v>186</v>
      </c>
      <c r="BM369">
        <v>0</v>
      </c>
      <c r="BN369">
        <v>0</v>
      </c>
      <c r="BO369" t="s">
        <v>3</v>
      </c>
      <c r="BP369">
        <v>0</v>
      </c>
      <c r="BQ369">
        <v>1</v>
      </c>
      <c r="BR369">
        <v>0</v>
      </c>
      <c r="BS369">
        <v>1</v>
      </c>
      <c r="BT369">
        <v>1</v>
      </c>
      <c r="BU369">
        <v>1</v>
      </c>
      <c r="BV369">
        <v>1</v>
      </c>
      <c r="BW369">
        <v>1</v>
      </c>
      <c r="BX369">
        <v>1</v>
      </c>
      <c r="BY369" t="s">
        <v>3</v>
      </c>
      <c r="BZ369">
        <v>70</v>
      </c>
      <c r="CA369">
        <v>10</v>
      </c>
      <c r="CB369" t="s">
        <v>3</v>
      </c>
      <c r="CE369">
        <v>0</v>
      </c>
      <c r="CF369">
        <v>0</v>
      </c>
      <c r="CG369">
        <v>0</v>
      </c>
      <c r="CM369">
        <v>0</v>
      </c>
      <c r="CN369" t="s">
        <v>3</v>
      </c>
      <c r="CO369">
        <v>0</v>
      </c>
      <c r="CP369">
        <f t="shared" si="323"/>
        <v>24751.5</v>
      </c>
      <c r="CQ369">
        <f t="shared" si="324"/>
        <v>0.94</v>
      </c>
      <c r="CR369">
        <f>((((ET369)*BB369-(EU369)*BS369)+AE369*BS369)*AV369)</f>
        <v>3.49</v>
      </c>
      <c r="CS369">
        <f t="shared" si="325"/>
        <v>0.05</v>
      </c>
      <c r="CT369">
        <f t="shared" si="326"/>
        <v>1645.67</v>
      </c>
      <c r="CU369">
        <f t="shared" si="327"/>
        <v>0</v>
      </c>
      <c r="CV369">
        <f t="shared" si="328"/>
        <v>2.48</v>
      </c>
      <c r="CW369">
        <f t="shared" si="329"/>
        <v>0</v>
      </c>
      <c r="CX369">
        <f t="shared" si="330"/>
        <v>0</v>
      </c>
      <c r="CY369">
        <f t="shared" si="331"/>
        <v>17279.535</v>
      </c>
      <c r="CZ369">
        <f t="shared" si="332"/>
        <v>2468.5050000000001</v>
      </c>
      <c r="DC369" t="s">
        <v>3</v>
      </c>
      <c r="DD369" t="s">
        <v>3</v>
      </c>
      <c r="DE369" t="s">
        <v>3</v>
      </c>
      <c r="DF369" t="s">
        <v>3</v>
      </c>
      <c r="DG369" t="s">
        <v>3</v>
      </c>
      <c r="DH369" t="s">
        <v>3</v>
      </c>
      <c r="DI369" t="s">
        <v>3</v>
      </c>
      <c r="DJ369" t="s">
        <v>3</v>
      </c>
      <c r="DK369" t="s">
        <v>3</v>
      </c>
      <c r="DL369" t="s">
        <v>3</v>
      </c>
      <c r="DM369" t="s">
        <v>3</v>
      </c>
      <c r="DN369">
        <v>0</v>
      </c>
      <c r="DO369">
        <v>0</v>
      </c>
      <c r="DP369">
        <v>1</v>
      </c>
      <c r="DQ369">
        <v>1</v>
      </c>
      <c r="DU369">
        <v>1013</v>
      </c>
      <c r="DV369" t="s">
        <v>178</v>
      </c>
      <c r="DW369" t="s">
        <v>178</v>
      </c>
      <c r="DX369">
        <v>1</v>
      </c>
      <c r="DZ369" t="s">
        <v>3</v>
      </c>
      <c r="EA369" t="s">
        <v>3</v>
      </c>
      <c r="EB369" t="s">
        <v>3</v>
      </c>
      <c r="EC369" t="s">
        <v>3</v>
      </c>
      <c r="EE369">
        <v>1441815344</v>
      </c>
      <c r="EF369">
        <v>1</v>
      </c>
      <c r="EG369" t="s">
        <v>21</v>
      </c>
      <c r="EH369">
        <v>0</v>
      </c>
      <c r="EI369" t="s">
        <v>3</v>
      </c>
      <c r="EJ369">
        <v>4</v>
      </c>
      <c r="EK369">
        <v>0</v>
      </c>
      <c r="EL369" t="s">
        <v>22</v>
      </c>
      <c r="EM369" t="s">
        <v>23</v>
      </c>
      <c r="EO369" t="s">
        <v>3</v>
      </c>
      <c r="EQ369">
        <v>0</v>
      </c>
      <c r="ER369">
        <v>1650.1</v>
      </c>
      <c r="ES369">
        <v>0.94</v>
      </c>
      <c r="ET369">
        <v>3.49</v>
      </c>
      <c r="EU369">
        <v>0.05</v>
      </c>
      <c r="EV369">
        <v>1645.67</v>
      </c>
      <c r="EW369">
        <v>2.48</v>
      </c>
      <c r="EX369">
        <v>0</v>
      </c>
      <c r="EY369">
        <v>0</v>
      </c>
      <c r="FQ369">
        <v>0</v>
      </c>
      <c r="FR369">
        <f t="shared" si="333"/>
        <v>0</v>
      </c>
      <c r="FS369">
        <v>0</v>
      </c>
      <c r="FX369">
        <v>70</v>
      </c>
      <c r="FY369">
        <v>10</v>
      </c>
      <c r="GA369" t="s">
        <v>3</v>
      </c>
      <c r="GD369">
        <v>0</v>
      </c>
      <c r="GF369">
        <v>-837754666</v>
      </c>
      <c r="GG369">
        <v>2</v>
      </c>
      <c r="GH369">
        <v>1</v>
      </c>
      <c r="GI369">
        <v>-2</v>
      </c>
      <c r="GJ369">
        <v>0</v>
      </c>
      <c r="GK369">
        <f>ROUND(R369*(R12)/100,2)</f>
        <v>0.81</v>
      </c>
      <c r="GL369">
        <f t="shared" si="334"/>
        <v>0</v>
      </c>
      <c r="GM369">
        <f t="shared" si="335"/>
        <v>44500.36</v>
      </c>
      <c r="GN369">
        <f t="shared" si="336"/>
        <v>0</v>
      </c>
      <c r="GO369">
        <f t="shared" si="337"/>
        <v>0</v>
      </c>
      <c r="GP369">
        <f t="shared" si="338"/>
        <v>44500.36</v>
      </c>
      <c r="GR369">
        <v>0</v>
      </c>
      <c r="GS369">
        <v>3</v>
      </c>
      <c r="GT369">
        <v>0</v>
      </c>
      <c r="GU369" t="s">
        <v>3</v>
      </c>
      <c r="GV369">
        <f t="shared" si="339"/>
        <v>0</v>
      </c>
      <c r="GW369">
        <v>1</v>
      </c>
      <c r="GX369">
        <f t="shared" si="340"/>
        <v>0</v>
      </c>
      <c r="HA369">
        <v>0</v>
      </c>
      <c r="HB369">
        <v>0</v>
      </c>
      <c r="HC369">
        <f t="shared" si="341"/>
        <v>0</v>
      </c>
      <c r="HE369" t="s">
        <v>3</v>
      </c>
      <c r="HF369" t="s">
        <v>3</v>
      </c>
      <c r="HM369" t="s">
        <v>3</v>
      </c>
      <c r="HN369" t="s">
        <v>3</v>
      </c>
      <c r="HO369" t="s">
        <v>3</v>
      </c>
      <c r="HP369" t="s">
        <v>3</v>
      </c>
      <c r="HQ369" t="s">
        <v>3</v>
      </c>
      <c r="IK369">
        <v>0</v>
      </c>
    </row>
    <row r="370" spans="1:245" x14ac:dyDescent="0.2">
      <c r="A370">
        <v>17</v>
      </c>
      <c r="B370">
        <v>1</v>
      </c>
      <c r="D370">
        <f>ROW(EtalonRes!A197)</f>
        <v>197</v>
      </c>
      <c r="E370" t="s">
        <v>3</v>
      </c>
      <c r="F370" t="s">
        <v>187</v>
      </c>
      <c r="G370" t="s">
        <v>188</v>
      </c>
      <c r="H370" t="s">
        <v>178</v>
      </c>
      <c r="I370">
        <f t="shared" si="307"/>
        <v>15</v>
      </c>
      <c r="J370">
        <v>0</v>
      </c>
      <c r="K370">
        <f t="shared" si="308"/>
        <v>15</v>
      </c>
      <c r="O370">
        <f t="shared" si="309"/>
        <v>55740.6</v>
      </c>
      <c r="P370">
        <f t="shared" si="310"/>
        <v>42.3</v>
      </c>
      <c r="Q370">
        <f t="shared" si="311"/>
        <v>157.05000000000001</v>
      </c>
      <c r="R370">
        <f t="shared" si="312"/>
        <v>2.25</v>
      </c>
      <c r="S370">
        <f t="shared" si="313"/>
        <v>55541.25</v>
      </c>
      <c r="T370">
        <f t="shared" si="314"/>
        <v>0</v>
      </c>
      <c r="U370">
        <f t="shared" si="315"/>
        <v>83.7</v>
      </c>
      <c r="V370">
        <f t="shared" si="316"/>
        <v>0</v>
      </c>
      <c r="W370">
        <f t="shared" si="317"/>
        <v>0</v>
      </c>
      <c r="X370">
        <f t="shared" si="318"/>
        <v>38878.879999999997</v>
      </c>
      <c r="Y370">
        <f t="shared" si="319"/>
        <v>5554.13</v>
      </c>
      <c r="AA370">
        <v>-1</v>
      </c>
      <c r="AB370">
        <f t="shared" si="320"/>
        <v>3716.04</v>
      </c>
      <c r="AC370">
        <f>ROUND(((ES370*3)),6)</f>
        <v>2.82</v>
      </c>
      <c r="AD370">
        <f>ROUND(((((ET370*3))-((EU370*3)))+AE370),6)</f>
        <v>10.47</v>
      </c>
      <c r="AE370">
        <f>ROUND(((EU370*3)),6)</f>
        <v>0.15</v>
      </c>
      <c r="AF370">
        <f>ROUND(((EV370*3)),6)</f>
        <v>3702.75</v>
      </c>
      <c r="AG370">
        <f t="shared" si="321"/>
        <v>0</v>
      </c>
      <c r="AH370">
        <f>((EW370*3))</f>
        <v>5.58</v>
      </c>
      <c r="AI370">
        <f>((EX370*3))</f>
        <v>0</v>
      </c>
      <c r="AJ370">
        <f t="shared" si="322"/>
        <v>0</v>
      </c>
      <c r="AK370">
        <v>1238.68</v>
      </c>
      <c r="AL370">
        <v>0.94</v>
      </c>
      <c r="AM370">
        <v>3.49</v>
      </c>
      <c r="AN370">
        <v>0.05</v>
      </c>
      <c r="AO370">
        <v>1234.25</v>
      </c>
      <c r="AP370">
        <v>0</v>
      </c>
      <c r="AQ370">
        <v>1.86</v>
      </c>
      <c r="AR370">
        <v>0</v>
      </c>
      <c r="AS370">
        <v>0</v>
      </c>
      <c r="AT370">
        <v>70</v>
      </c>
      <c r="AU370">
        <v>10</v>
      </c>
      <c r="AV370">
        <v>1</v>
      </c>
      <c r="AW370">
        <v>1</v>
      </c>
      <c r="AZ370">
        <v>1</v>
      </c>
      <c r="BA370">
        <v>1</v>
      </c>
      <c r="BB370">
        <v>1</v>
      </c>
      <c r="BC370">
        <v>1</v>
      </c>
      <c r="BD370" t="s">
        <v>3</v>
      </c>
      <c r="BE370" t="s">
        <v>3</v>
      </c>
      <c r="BF370" t="s">
        <v>3</v>
      </c>
      <c r="BG370" t="s">
        <v>3</v>
      </c>
      <c r="BH370">
        <v>0</v>
      </c>
      <c r="BI370">
        <v>4</v>
      </c>
      <c r="BJ370" t="s">
        <v>189</v>
      </c>
      <c r="BM370">
        <v>0</v>
      </c>
      <c r="BN370">
        <v>0</v>
      </c>
      <c r="BO370" t="s">
        <v>3</v>
      </c>
      <c r="BP370">
        <v>0</v>
      </c>
      <c r="BQ370">
        <v>1</v>
      </c>
      <c r="BR370">
        <v>0</v>
      </c>
      <c r="BS370">
        <v>1</v>
      </c>
      <c r="BT370">
        <v>1</v>
      </c>
      <c r="BU370">
        <v>1</v>
      </c>
      <c r="BV370">
        <v>1</v>
      </c>
      <c r="BW370">
        <v>1</v>
      </c>
      <c r="BX370">
        <v>1</v>
      </c>
      <c r="BY370" t="s">
        <v>3</v>
      </c>
      <c r="BZ370">
        <v>70</v>
      </c>
      <c r="CA370">
        <v>10</v>
      </c>
      <c r="CB370" t="s">
        <v>3</v>
      </c>
      <c r="CE370">
        <v>0</v>
      </c>
      <c r="CF370">
        <v>0</v>
      </c>
      <c r="CG370">
        <v>0</v>
      </c>
      <c r="CM370">
        <v>0</v>
      </c>
      <c r="CN370" t="s">
        <v>3</v>
      </c>
      <c r="CO370">
        <v>0</v>
      </c>
      <c r="CP370">
        <f t="shared" si="323"/>
        <v>55740.6</v>
      </c>
      <c r="CQ370">
        <f t="shared" si="324"/>
        <v>2.82</v>
      </c>
      <c r="CR370">
        <f>(((((ET370*3))*BB370-((EU370*3))*BS370)+AE370*BS370)*AV370)</f>
        <v>10.47</v>
      </c>
      <c r="CS370">
        <f t="shared" si="325"/>
        <v>0.15</v>
      </c>
      <c r="CT370">
        <f t="shared" si="326"/>
        <v>3702.75</v>
      </c>
      <c r="CU370">
        <f t="shared" si="327"/>
        <v>0</v>
      </c>
      <c r="CV370">
        <f t="shared" si="328"/>
        <v>5.58</v>
      </c>
      <c r="CW370">
        <f t="shared" si="329"/>
        <v>0</v>
      </c>
      <c r="CX370">
        <f t="shared" si="330"/>
        <v>0</v>
      </c>
      <c r="CY370">
        <f t="shared" si="331"/>
        <v>38878.875</v>
      </c>
      <c r="CZ370">
        <f t="shared" si="332"/>
        <v>5554.125</v>
      </c>
      <c r="DC370" t="s">
        <v>3</v>
      </c>
      <c r="DD370" t="s">
        <v>163</v>
      </c>
      <c r="DE370" t="s">
        <v>163</v>
      </c>
      <c r="DF370" t="s">
        <v>163</v>
      </c>
      <c r="DG370" t="s">
        <v>163</v>
      </c>
      <c r="DH370" t="s">
        <v>3</v>
      </c>
      <c r="DI370" t="s">
        <v>163</v>
      </c>
      <c r="DJ370" t="s">
        <v>163</v>
      </c>
      <c r="DK370" t="s">
        <v>3</v>
      </c>
      <c r="DL370" t="s">
        <v>3</v>
      </c>
      <c r="DM370" t="s">
        <v>3</v>
      </c>
      <c r="DN370">
        <v>0</v>
      </c>
      <c r="DO370">
        <v>0</v>
      </c>
      <c r="DP370">
        <v>1</v>
      </c>
      <c r="DQ370">
        <v>1</v>
      </c>
      <c r="DU370">
        <v>1013</v>
      </c>
      <c r="DV370" t="s">
        <v>178</v>
      </c>
      <c r="DW370" t="s">
        <v>178</v>
      </c>
      <c r="DX370">
        <v>1</v>
      </c>
      <c r="DZ370" t="s">
        <v>3</v>
      </c>
      <c r="EA370" t="s">
        <v>3</v>
      </c>
      <c r="EB370" t="s">
        <v>3</v>
      </c>
      <c r="EC370" t="s">
        <v>3</v>
      </c>
      <c r="EE370">
        <v>1441815344</v>
      </c>
      <c r="EF370">
        <v>1</v>
      </c>
      <c r="EG370" t="s">
        <v>21</v>
      </c>
      <c r="EH370">
        <v>0</v>
      </c>
      <c r="EI370" t="s">
        <v>3</v>
      </c>
      <c r="EJ370">
        <v>4</v>
      </c>
      <c r="EK370">
        <v>0</v>
      </c>
      <c r="EL370" t="s">
        <v>22</v>
      </c>
      <c r="EM370" t="s">
        <v>23</v>
      </c>
      <c r="EO370" t="s">
        <v>3</v>
      </c>
      <c r="EQ370">
        <v>1024</v>
      </c>
      <c r="ER370">
        <v>1238.68</v>
      </c>
      <c r="ES370">
        <v>0.94</v>
      </c>
      <c r="ET370">
        <v>3.49</v>
      </c>
      <c r="EU370">
        <v>0.05</v>
      </c>
      <c r="EV370">
        <v>1234.25</v>
      </c>
      <c r="EW370">
        <v>1.86</v>
      </c>
      <c r="EX370">
        <v>0</v>
      </c>
      <c r="EY370">
        <v>0</v>
      </c>
      <c r="FQ370">
        <v>0</v>
      </c>
      <c r="FR370">
        <f t="shared" si="333"/>
        <v>0</v>
      </c>
      <c r="FS370">
        <v>0</v>
      </c>
      <c r="FX370">
        <v>70</v>
      </c>
      <c r="FY370">
        <v>10</v>
      </c>
      <c r="GA370" t="s">
        <v>3</v>
      </c>
      <c r="GD370">
        <v>0</v>
      </c>
      <c r="GF370">
        <v>1840343037</v>
      </c>
      <c r="GG370">
        <v>2</v>
      </c>
      <c r="GH370">
        <v>1</v>
      </c>
      <c r="GI370">
        <v>-2</v>
      </c>
      <c r="GJ370">
        <v>0</v>
      </c>
      <c r="GK370">
        <f>ROUND(R370*(R12)/100,2)</f>
        <v>2.4300000000000002</v>
      </c>
      <c r="GL370">
        <f t="shared" si="334"/>
        <v>0</v>
      </c>
      <c r="GM370">
        <f t="shared" si="335"/>
        <v>100176.04</v>
      </c>
      <c r="GN370">
        <f t="shared" si="336"/>
        <v>0</v>
      </c>
      <c r="GO370">
        <f t="shared" si="337"/>
        <v>0</v>
      </c>
      <c r="GP370">
        <f t="shared" si="338"/>
        <v>100176.04</v>
      </c>
      <c r="GR370">
        <v>0</v>
      </c>
      <c r="GS370">
        <v>3</v>
      </c>
      <c r="GT370">
        <v>0</v>
      </c>
      <c r="GU370" t="s">
        <v>3</v>
      </c>
      <c r="GV370">
        <f t="shared" si="339"/>
        <v>0</v>
      </c>
      <c r="GW370">
        <v>1</v>
      </c>
      <c r="GX370">
        <f t="shared" si="340"/>
        <v>0</v>
      </c>
      <c r="HA370">
        <v>0</v>
      </c>
      <c r="HB370">
        <v>0</v>
      </c>
      <c r="HC370">
        <f t="shared" si="341"/>
        <v>0</v>
      </c>
      <c r="HE370" t="s">
        <v>3</v>
      </c>
      <c r="HF370" t="s">
        <v>3</v>
      </c>
      <c r="HM370" t="s">
        <v>3</v>
      </c>
      <c r="HN370" t="s">
        <v>3</v>
      </c>
      <c r="HO370" t="s">
        <v>3</v>
      </c>
      <c r="HP370" t="s">
        <v>3</v>
      </c>
      <c r="HQ370" t="s">
        <v>3</v>
      </c>
      <c r="IK370">
        <v>0</v>
      </c>
    </row>
    <row r="371" spans="1:245" x14ac:dyDescent="0.2">
      <c r="A371">
        <v>17</v>
      </c>
      <c r="B371">
        <v>1</v>
      </c>
      <c r="D371">
        <f>ROW(EtalonRes!A200)</f>
        <v>200</v>
      </c>
      <c r="E371" t="s">
        <v>3</v>
      </c>
      <c r="F371" t="s">
        <v>187</v>
      </c>
      <c r="G371" t="s">
        <v>188</v>
      </c>
      <c r="H371" t="s">
        <v>178</v>
      </c>
      <c r="I371">
        <v>5</v>
      </c>
      <c r="J371">
        <v>0</v>
      </c>
      <c r="K371">
        <v>5</v>
      </c>
      <c r="O371">
        <f t="shared" si="309"/>
        <v>18580.2</v>
      </c>
      <c r="P371">
        <f t="shared" si="310"/>
        <v>14.1</v>
      </c>
      <c r="Q371">
        <f t="shared" si="311"/>
        <v>52.35</v>
      </c>
      <c r="R371">
        <f t="shared" si="312"/>
        <v>0.75</v>
      </c>
      <c r="S371">
        <f t="shared" si="313"/>
        <v>18513.75</v>
      </c>
      <c r="T371">
        <f t="shared" si="314"/>
        <v>0</v>
      </c>
      <c r="U371">
        <f t="shared" si="315"/>
        <v>27.9</v>
      </c>
      <c r="V371">
        <f t="shared" si="316"/>
        <v>0</v>
      </c>
      <c r="W371">
        <f t="shared" si="317"/>
        <v>0</v>
      </c>
      <c r="X371">
        <f t="shared" si="318"/>
        <v>12959.63</v>
      </c>
      <c r="Y371">
        <f t="shared" si="319"/>
        <v>1851.38</v>
      </c>
      <c r="AA371">
        <v>-1</v>
      </c>
      <c r="AB371">
        <f t="shared" si="320"/>
        <v>3716.04</v>
      </c>
      <c r="AC371">
        <f>ROUND(((ES371*3)),6)</f>
        <v>2.82</v>
      </c>
      <c r="AD371">
        <f>ROUND(((((ET371*3))-((EU371*3)))+AE371),6)</f>
        <v>10.47</v>
      </c>
      <c r="AE371">
        <f>ROUND(((EU371*3)),6)</f>
        <v>0.15</v>
      </c>
      <c r="AF371">
        <f>ROUND(((EV371*3)),6)</f>
        <v>3702.75</v>
      </c>
      <c r="AG371">
        <f t="shared" si="321"/>
        <v>0</v>
      </c>
      <c r="AH371">
        <f>((EW371*3))</f>
        <v>5.58</v>
      </c>
      <c r="AI371">
        <f>((EX371*3))</f>
        <v>0</v>
      </c>
      <c r="AJ371">
        <f t="shared" si="322"/>
        <v>0</v>
      </c>
      <c r="AK371">
        <v>1238.68</v>
      </c>
      <c r="AL371">
        <v>0.94</v>
      </c>
      <c r="AM371">
        <v>3.49</v>
      </c>
      <c r="AN371">
        <v>0.05</v>
      </c>
      <c r="AO371">
        <v>1234.25</v>
      </c>
      <c r="AP371">
        <v>0</v>
      </c>
      <c r="AQ371">
        <v>1.86</v>
      </c>
      <c r="AR371">
        <v>0</v>
      </c>
      <c r="AS371">
        <v>0</v>
      </c>
      <c r="AT371">
        <v>70</v>
      </c>
      <c r="AU371">
        <v>10</v>
      </c>
      <c r="AV371">
        <v>1</v>
      </c>
      <c r="AW371">
        <v>1</v>
      </c>
      <c r="AZ371">
        <v>1</v>
      </c>
      <c r="BA371">
        <v>1</v>
      </c>
      <c r="BB371">
        <v>1</v>
      </c>
      <c r="BC371">
        <v>1</v>
      </c>
      <c r="BD371" t="s">
        <v>3</v>
      </c>
      <c r="BE371" t="s">
        <v>3</v>
      </c>
      <c r="BF371" t="s">
        <v>3</v>
      </c>
      <c r="BG371" t="s">
        <v>3</v>
      </c>
      <c r="BH371">
        <v>0</v>
      </c>
      <c r="BI371">
        <v>4</v>
      </c>
      <c r="BJ371" t="s">
        <v>189</v>
      </c>
      <c r="BM371">
        <v>0</v>
      </c>
      <c r="BN371">
        <v>0</v>
      </c>
      <c r="BO371" t="s">
        <v>3</v>
      </c>
      <c r="BP371">
        <v>0</v>
      </c>
      <c r="BQ371">
        <v>1</v>
      </c>
      <c r="BR371">
        <v>0</v>
      </c>
      <c r="BS371">
        <v>1</v>
      </c>
      <c r="BT371">
        <v>1</v>
      </c>
      <c r="BU371">
        <v>1</v>
      </c>
      <c r="BV371">
        <v>1</v>
      </c>
      <c r="BW371">
        <v>1</v>
      </c>
      <c r="BX371">
        <v>1</v>
      </c>
      <c r="BY371" t="s">
        <v>3</v>
      </c>
      <c r="BZ371">
        <v>70</v>
      </c>
      <c r="CA371">
        <v>10</v>
      </c>
      <c r="CB371" t="s">
        <v>3</v>
      </c>
      <c r="CE371">
        <v>0</v>
      </c>
      <c r="CF371">
        <v>0</v>
      </c>
      <c r="CG371">
        <v>0</v>
      </c>
      <c r="CM371">
        <v>0</v>
      </c>
      <c r="CN371" t="s">
        <v>3</v>
      </c>
      <c r="CO371">
        <v>0</v>
      </c>
      <c r="CP371">
        <f t="shared" si="323"/>
        <v>18580.2</v>
      </c>
      <c r="CQ371">
        <f t="shared" si="324"/>
        <v>2.82</v>
      </c>
      <c r="CR371">
        <f>(((((ET371*3))*BB371-((EU371*3))*BS371)+AE371*BS371)*AV371)</f>
        <v>10.47</v>
      </c>
      <c r="CS371">
        <f t="shared" si="325"/>
        <v>0.15</v>
      </c>
      <c r="CT371">
        <f t="shared" si="326"/>
        <v>3702.75</v>
      </c>
      <c r="CU371">
        <f t="shared" si="327"/>
        <v>0</v>
      </c>
      <c r="CV371">
        <f t="shared" si="328"/>
        <v>5.58</v>
      </c>
      <c r="CW371">
        <f t="shared" si="329"/>
        <v>0</v>
      </c>
      <c r="CX371">
        <f t="shared" si="330"/>
        <v>0</v>
      </c>
      <c r="CY371">
        <f t="shared" si="331"/>
        <v>12959.625</v>
      </c>
      <c r="CZ371">
        <f t="shared" si="332"/>
        <v>1851.375</v>
      </c>
      <c r="DC371" t="s">
        <v>3</v>
      </c>
      <c r="DD371" t="s">
        <v>163</v>
      </c>
      <c r="DE371" t="s">
        <v>163</v>
      </c>
      <c r="DF371" t="s">
        <v>163</v>
      </c>
      <c r="DG371" t="s">
        <v>163</v>
      </c>
      <c r="DH371" t="s">
        <v>3</v>
      </c>
      <c r="DI371" t="s">
        <v>163</v>
      </c>
      <c r="DJ371" t="s">
        <v>163</v>
      </c>
      <c r="DK371" t="s">
        <v>3</v>
      </c>
      <c r="DL371" t="s">
        <v>3</v>
      </c>
      <c r="DM371" t="s">
        <v>3</v>
      </c>
      <c r="DN371">
        <v>0</v>
      </c>
      <c r="DO371">
        <v>0</v>
      </c>
      <c r="DP371">
        <v>1</v>
      </c>
      <c r="DQ371">
        <v>1</v>
      </c>
      <c r="DU371">
        <v>1013</v>
      </c>
      <c r="DV371" t="s">
        <v>178</v>
      </c>
      <c r="DW371" t="s">
        <v>178</v>
      </c>
      <c r="DX371">
        <v>1</v>
      </c>
      <c r="DZ371" t="s">
        <v>3</v>
      </c>
      <c r="EA371" t="s">
        <v>3</v>
      </c>
      <c r="EB371" t="s">
        <v>3</v>
      </c>
      <c r="EC371" t="s">
        <v>3</v>
      </c>
      <c r="EE371">
        <v>1441815344</v>
      </c>
      <c r="EF371">
        <v>1</v>
      </c>
      <c r="EG371" t="s">
        <v>21</v>
      </c>
      <c r="EH371">
        <v>0</v>
      </c>
      <c r="EI371" t="s">
        <v>3</v>
      </c>
      <c r="EJ371">
        <v>4</v>
      </c>
      <c r="EK371">
        <v>0</v>
      </c>
      <c r="EL371" t="s">
        <v>22</v>
      </c>
      <c r="EM371" t="s">
        <v>23</v>
      </c>
      <c r="EO371" t="s">
        <v>3</v>
      </c>
      <c r="EQ371">
        <v>1024</v>
      </c>
      <c r="ER371">
        <v>1238.68</v>
      </c>
      <c r="ES371">
        <v>0.94</v>
      </c>
      <c r="ET371">
        <v>3.49</v>
      </c>
      <c r="EU371">
        <v>0.05</v>
      </c>
      <c r="EV371">
        <v>1234.25</v>
      </c>
      <c r="EW371">
        <v>1.86</v>
      </c>
      <c r="EX371">
        <v>0</v>
      </c>
      <c r="EY371">
        <v>0</v>
      </c>
      <c r="FQ371">
        <v>0</v>
      </c>
      <c r="FR371">
        <f t="shared" si="333"/>
        <v>0</v>
      </c>
      <c r="FS371">
        <v>0</v>
      </c>
      <c r="FX371">
        <v>70</v>
      </c>
      <c r="FY371">
        <v>10</v>
      </c>
      <c r="GA371" t="s">
        <v>3</v>
      </c>
      <c r="GD371">
        <v>0</v>
      </c>
      <c r="GF371">
        <v>1840343037</v>
      </c>
      <c r="GG371">
        <v>2</v>
      </c>
      <c r="GH371">
        <v>1</v>
      </c>
      <c r="GI371">
        <v>-2</v>
      </c>
      <c r="GJ371">
        <v>0</v>
      </c>
      <c r="GK371">
        <f>ROUND(R371*(R12)/100,2)</f>
        <v>0.81</v>
      </c>
      <c r="GL371">
        <f t="shared" si="334"/>
        <v>0</v>
      </c>
      <c r="GM371">
        <f t="shared" si="335"/>
        <v>33392.019999999997</v>
      </c>
      <c r="GN371">
        <f t="shared" si="336"/>
        <v>0</v>
      </c>
      <c r="GO371">
        <f t="shared" si="337"/>
        <v>0</v>
      </c>
      <c r="GP371">
        <f t="shared" si="338"/>
        <v>33392.019999999997</v>
      </c>
      <c r="GR371">
        <v>0</v>
      </c>
      <c r="GS371">
        <v>3</v>
      </c>
      <c r="GT371">
        <v>0</v>
      </c>
      <c r="GU371" t="s">
        <v>3</v>
      </c>
      <c r="GV371">
        <f t="shared" si="339"/>
        <v>0</v>
      </c>
      <c r="GW371">
        <v>1</v>
      </c>
      <c r="GX371">
        <f t="shared" si="340"/>
        <v>0</v>
      </c>
      <c r="HA371">
        <v>0</v>
      </c>
      <c r="HB371">
        <v>0</v>
      </c>
      <c r="HC371">
        <f t="shared" si="341"/>
        <v>0</v>
      </c>
      <c r="HE371" t="s">
        <v>3</v>
      </c>
      <c r="HF371" t="s">
        <v>3</v>
      </c>
      <c r="HM371" t="s">
        <v>3</v>
      </c>
      <c r="HN371" t="s">
        <v>3</v>
      </c>
      <c r="HO371" t="s">
        <v>3</v>
      </c>
      <c r="HP371" t="s">
        <v>3</v>
      </c>
      <c r="HQ371" t="s">
        <v>3</v>
      </c>
      <c r="IK371">
        <v>0</v>
      </c>
    </row>
    <row r="372" spans="1:245" x14ac:dyDescent="0.2">
      <c r="A372">
        <v>17</v>
      </c>
      <c r="B372">
        <v>1</v>
      </c>
      <c r="D372">
        <f>ROW(EtalonRes!A203)</f>
        <v>203</v>
      </c>
      <c r="E372" t="s">
        <v>3</v>
      </c>
      <c r="F372" t="s">
        <v>184</v>
      </c>
      <c r="G372" t="s">
        <v>185</v>
      </c>
      <c r="H372" t="s">
        <v>178</v>
      </c>
      <c r="I372">
        <v>5</v>
      </c>
      <c r="J372">
        <v>0</v>
      </c>
      <c r="K372">
        <v>5</v>
      </c>
      <c r="O372">
        <f t="shared" si="309"/>
        <v>8250.5</v>
      </c>
      <c r="P372">
        <f t="shared" si="310"/>
        <v>4.7</v>
      </c>
      <c r="Q372">
        <f t="shared" si="311"/>
        <v>17.45</v>
      </c>
      <c r="R372">
        <f t="shared" si="312"/>
        <v>0.25</v>
      </c>
      <c r="S372">
        <f t="shared" si="313"/>
        <v>8228.35</v>
      </c>
      <c r="T372">
        <f t="shared" si="314"/>
        <v>0</v>
      </c>
      <c r="U372">
        <f t="shared" si="315"/>
        <v>12.4</v>
      </c>
      <c r="V372">
        <f t="shared" si="316"/>
        <v>0</v>
      </c>
      <c r="W372">
        <f t="shared" si="317"/>
        <v>0</v>
      </c>
      <c r="X372">
        <f t="shared" si="318"/>
        <v>5759.85</v>
      </c>
      <c r="Y372">
        <f t="shared" si="319"/>
        <v>822.84</v>
      </c>
      <c r="AA372">
        <v>-1</v>
      </c>
      <c r="AB372">
        <f t="shared" si="320"/>
        <v>1650.1</v>
      </c>
      <c r="AC372">
        <f>ROUND((ES372),6)</f>
        <v>0.94</v>
      </c>
      <c r="AD372">
        <f>ROUND((((ET372)-(EU372))+AE372),6)</f>
        <v>3.49</v>
      </c>
      <c r="AE372">
        <f>ROUND((EU372),6)</f>
        <v>0.05</v>
      </c>
      <c r="AF372">
        <f>ROUND((EV372),6)</f>
        <v>1645.67</v>
      </c>
      <c r="AG372">
        <f t="shared" si="321"/>
        <v>0</v>
      </c>
      <c r="AH372">
        <f>(EW372)</f>
        <v>2.48</v>
      </c>
      <c r="AI372">
        <f>(EX372)</f>
        <v>0</v>
      </c>
      <c r="AJ372">
        <f t="shared" si="322"/>
        <v>0</v>
      </c>
      <c r="AK372">
        <v>1650.1</v>
      </c>
      <c r="AL372">
        <v>0.94</v>
      </c>
      <c r="AM372">
        <v>3.49</v>
      </c>
      <c r="AN372">
        <v>0.05</v>
      </c>
      <c r="AO372">
        <v>1645.67</v>
      </c>
      <c r="AP372">
        <v>0</v>
      </c>
      <c r="AQ372">
        <v>2.48</v>
      </c>
      <c r="AR372">
        <v>0</v>
      </c>
      <c r="AS372">
        <v>0</v>
      </c>
      <c r="AT372">
        <v>70</v>
      </c>
      <c r="AU372">
        <v>10</v>
      </c>
      <c r="AV372">
        <v>1</v>
      </c>
      <c r="AW372">
        <v>1</v>
      </c>
      <c r="AZ372">
        <v>1</v>
      </c>
      <c r="BA372">
        <v>1</v>
      </c>
      <c r="BB372">
        <v>1</v>
      </c>
      <c r="BC372">
        <v>1</v>
      </c>
      <c r="BD372" t="s">
        <v>3</v>
      </c>
      <c r="BE372" t="s">
        <v>3</v>
      </c>
      <c r="BF372" t="s">
        <v>3</v>
      </c>
      <c r="BG372" t="s">
        <v>3</v>
      </c>
      <c r="BH372">
        <v>0</v>
      </c>
      <c r="BI372">
        <v>4</v>
      </c>
      <c r="BJ372" t="s">
        <v>186</v>
      </c>
      <c r="BM372">
        <v>0</v>
      </c>
      <c r="BN372">
        <v>0</v>
      </c>
      <c r="BO372" t="s">
        <v>3</v>
      </c>
      <c r="BP372">
        <v>0</v>
      </c>
      <c r="BQ372">
        <v>1</v>
      </c>
      <c r="BR372">
        <v>0</v>
      </c>
      <c r="BS372">
        <v>1</v>
      </c>
      <c r="BT372">
        <v>1</v>
      </c>
      <c r="BU372">
        <v>1</v>
      </c>
      <c r="BV372">
        <v>1</v>
      </c>
      <c r="BW372">
        <v>1</v>
      </c>
      <c r="BX372">
        <v>1</v>
      </c>
      <c r="BY372" t="s">
        <v>3</v>
      </c>
      <c r="BZ372">
        <v>70</v>
      </c>
      <c r="CA372">
        <v>10</v>
      </c>
      <c r="CB372" t="s">
        <v>3</v>
      </c>
      <c r="CE372">
        <v>0</v>
      </c>
      <c r="CF372">
        <v>0</v>
      </c>
      <c r="CG372">
        <v>0</v>
      </c>
      <c r="CM372">
        <v>0</v>
      </c>
      <c r="CN372" t="s">
        <v>3</v>
      </c>
      <c r="CO372">
        <v>0</v>
      </c>
      <c r="CP372">
        <f t="shared" si="323"/>
        <v>8250.5</v>
      </c>
      <c r="CQ372">
        <f t="shared" si="324"/>
        <v>0.94</v>
      </c>
      <c r="CR372">
        <f>((((ET372)*BB372-(EU372)*BS372)+AE372*BS372)*AV372)</f>
        <v>3.49</v>
      </c>
      <c r="CS372">
        <f t="shared" si="325"/>
        <v>0.05</v>
      </c>
      <c r="CT372">
        <f t="shared" si="326"/>
        <v>1645.67</v>
      </c>
      <c r="CU372">
        <f t="shared" si="327"/>
        <v>0</v>
      </c>
      <c r="CV372">
        <f t="shared" si="328"/>
        <v>2.48</v>
      </c>
      <c r="CW372">
        <f t="shared" si="329"/>
        <v>0</v>
      </c>
      <c r="CX372">
        <f t="shared" si="330"/>
        <v>0</v>
      </c>
      <c r="CY372">
        <f t="shared" si="331"/>
        <v>5759.8450000000003</v>
      </c>
      <c r="CZ372">
        <f t="shared" si="332"/>
        <v>822.83500000000004</v>
      </c>
      <c r="DC372" t="s">
        <v>3</v>
      </c>
      <c r="DD372" t="s">
        <v>3</v>
      </c>
      <c r="DE372" t="s">
        <v>3</v>
      </c>
      <c r="DF372" t="s">
        <v>3</v>
      </c>
      <c r="DG372" t="s">
        <v>3</v>
      </c>
      <c r="DH372" t="s">
        <v>3</v>
      </c>
      <c r="DI372" t="s">
        <v>3</v>
      </c>
      <c r="DJ372" t="s">
        <v>3</v>
      </c>
      <c r="DK372" t="s">
        <v>3</v>
      </c>
      <c r="DL372" t="s">
        <v>3</v>
      </c>
      <c r="DM372" t="s">
        <v>3</v>
      </c>
      <c r="DN372">
        <v>0</v>
      </c>
      <c r="DO372">
        <v>0</v>
      </c>
      <c r="DP372">
        <v>1</v>
      </c>
      <c r="DQ372">
        <v>1</v>
      </c>
      <c r="DU372">
        <v>1013</v>
      </c>
      <c r="DV372" t="s">
        <v>178</v>
      </c>
      <c r="DW372" t="s">
        <v>178</v>
      </c>
      <c r="DX372">
        <v>1</v>
      </c>
      <c r="DZ372" t="s">
        <v>3</v>
      </c>
      <c r="EA372" t="s">
        <v>3</v>
      </c>
      <c r="EB372" t="s">
        <v>3</v>
      </c>
      <c r="EC372" t="s">
        <v>3</v>
      </c>
      <c r="EE372">
        <v>1441815344</v>
      </c>
      <c r="EF372">
        <v>1</v>
      </c>
      <c r="EG372" t="s">
        <v>21</v>
      </c>
      <c r="EH372">
        <v>0</v>
      </c>
      <c r="EI372" t="s">
        <v>3</v>
      </c>
      <c r="EJ372">
        <v>4</v>
      </c>
      <c r="EK372">
        <v>0</v>
      </c>
      <c r="EL372" t="s">
        <v>22</v>
      </c>
      <c r="EM372" t="s">
        <v>23</v>
      </c>
      <c r="EO372" t="s">
        <v>3</v>
      </c>
      <c r="EQ372">
        <v>1024</v>
      </c>
      <c r="ER372">
        <v>1650.1</v>
      </c>
      <c r="ES372">
        <v>0.94</v>
      </c>
      <c r="ET372">
        <v>3.49</v>
      </c>
      <c r="EU372">
        <v>0.05</v>
      </c>
      <c r="EV372">
        <v>1645.67</v>
      </c>
      <c r="EW372">
        <v>2.48</v>
      </c>
      <c r="EX372">
        <v>0</v>
      </c>
      <c r="EY372">
        <v>0</v>
      </c>
      <c r="FQ372">
        <v>0</v>
      </c>
      <c r="FR372">
        <f t="shared" si="333"/>
        <v>0</v>
      </c>
      <c r="FS372">
        <v>0</v>
      </c>
      <c r="FX372">
        <v>70</v>
      </c>
      <c r="FY372">
        <v>10</v>
      </c>
      <c r="GA372" t="s">
        <v>3</v>
      </c>
      <c r="GD372">
        <v>0</v>
      </c>
      <c r="GF372">
        <v>-837754666</v>
      </c>
      <c r="GG372">
        <v>2</v>
      </c>
      <c r="GH372">
        <v>1</v>
      </c>
      <c r="GI372">
        <v>-2</v>
      </c>
      <c r="GJ372">
        <v>0</v>
      </c>
      <c r="GK372">
        <f>ROUND(R372*(R12)/100,2)</f>
        <v>0.27</v>
      </c>
      <c r="GL372">
        <f t="shared" si="334"/>
        <v>0</v>
      </c>
      <c r="GM372">
        <f t="shared" si="335"/>
        <v>14833.46</v>
      </c>
      <c r="GN372">
        <f t="shared" si="336"/>
        <v>0</v>
      </c>
      <c r="GO372">
        <f t="shared" si="337"/>
        <v>0</v>
      </c>
      <c r="GP372">
        <f t="shared" si="338"/>
        <v>14833.46</v>
      </c>
      <c r="GR372">
        <v>0</v>
      </c>
      <c r="GS372">
        <v>3</v>
      </c>
      <c r="GT372">
        <v>0</v>
      </c>
      <c r="GU372" t="s">
        <v>3</v>
      </c>
      <c r="GV372">
        <f t="shared" si="339"/>
        <v>0</v>
      </c>
      <c r="GW372">
        <v>1</v>
      </c>
      <c r="GX372">
        <f t="shared" si="340"/>
        <v>0</v>
      </c>
      <c r="HA372">
        <v>0</v>
      </c>
      <c r="HB372">
        <v>0</v>
      </c>
      <c r="HC372">
        <f t="shared" si="341"/>
        <v>0</v>
      </c>
      <c r="HE372" t="s">
        <v>3</v>
      </c>
      <c r="HF372" t="s">
        <v>3</v>
      </c>
      <c r="HM372" t="s">
        <v>3</v>
      </c>
      <c r="HN372" t="s">
        <v>3</v>
      </c>
      <c r="HO372" t="s">
        <v>3</v>
      </c>
      <c r="HP372" t="s">
        <v>3</v>
      </c>
      <c r="HQ372" t="s">
        <v>3</v>
      </c>
      <c r="IK372">
        <v>0</v>
      </c>
    </row>
    <row r="374" spans="1:245" x14ac:dyDescent="0.2">
      <c r="A374" s="2">
        <v>51</v>
      </c>
      <c r="B374" s="2">
        <f>B360</f>
        <v>1</v>
      </c>
      <c r="C374" s="2">
        <f>A360</f>
        <v>5</v>
      </c>
      <c r="D374" s="2">
        <f>ROW(A360)</f>
        <v>360</v>
      </c>
      <c r="E374" s="2"/>
      <c r="F374" s="2" t="str">
        <f>IF(F360&lt;&gt;"",F360,"")</f>
        <v>Новый подраздел</v>
      </c>
      <c r="G374" s="2" t="str">
        <f>IF(G360&lt;&gt;"",G360,"")</f>
        <v>Вентиляция и кондиционирование</v>
      </c>
      <c r="H374" s="2">
        <v>0</v>
      </c>
      <c r="I374" s="2"/>
      <c r="J374" s="2"/>
      <c r="K374" s="2"/>
      <c r="L374" s="2"/>
      <c r="M374" s="2"/>
      <c r="N374" s="2"/>
      <c r="O374" s="2">
        <f t="shared" ref="O374:T374" si="342">ROUND(AB374,2)</f>
        <v>71039.55</v>
      </c>
      <c r="P374" s="2">
        <f t="shared" si="342"/>
        <v>25.2</v>
      </c>
      <c r="Q374" s="2">
        <f t="shared" si="342"/>
        <v>79.2</v>
      </c>
      <c r="R374" s="2">
        <f t="shared" si="342"/>
        <v>1.05</v>
      </c>
      <c r="S374" s="2">
        <f t="shared" si="342"/>
        <v>70935.149999999994</v>
      </c>
      <c r="T374" s="2">
        <f t="shared" si="342"/>
        <v>0</v>
      </c>
      <c r="U374" s="2">
        <f>AH374</f>
        <v>111.3</v>
      </c>
      <c r="V374" s="2">
        <f>AI374</f>
        <v>0</v>
      </c>
      <c r="W374" s="2">
        <f>ROUND(AJ374,2)</f>
        <v>0</v>
      </c>
      <c r="X374" s="2">
        <f>ROUND(AK374,2)</f>
        <v>49654.61</v>
      </c>
      <c r="Y374" s="2">
        <f>ROUND(AL374,2)</f>
        <v>7093.52</v>
      </c>
      <c r="Z374" s="2"/>
      <c r="AA374" s="2"/>
      <c r="AB374" s="2">
        <f>ROUND(SUMIF(AA364:AA372,"=1471718271",O364:O372),2)</f>
        <v>71039.55</v>
      </c>
      <c r="AC374" s="2">
        <f>ROUND(SUMIF(AA364:AA372,"=1471718271",P364:P372),2)</f>
        <v>25.2</v>
      </c>
      <c r="AD374" s="2">
        <f>ROUND(SUMIF(AA364:AA372,"=1471718271",Q364:Q372),2)</f>
        <v>79.2</v>
      </c>
      <c r="AE374" s="2">
        <f>ROUND(SUMIF(AA364:AA372,"=1471718271",R364:R372),2)</f>
        <v>1.05</v>
      </c>
      <c r="AF374" s="2">
        <f>ROUND(SUMIF(AA364:AA372,"=1471718271",S364:S372),2)</f>
        <v>70935.149999999994</v>
      </c>
      <c r="AG374" s="2">
        <f>ROUND(SUMIF(AA364:AA372,"=1471718271",T364:T372),2)</f>
        <v>0</v>
      </c>
      <c r="AH374" s="2">
        <f>SUMIF(AA364:AA372,"=1471718271",U364:U372)</f>
        <v>111.3</v>
      </c>
      <c r="AI374" s="2">
        <f>SUMIF(AA364:AA372,"=1471718271",V364:V372)</f>
        <v>0</v>
      </c>
      <c r="AJ374" s="2">
        <f>ROUND(SUMIF(AA364:AA372,"=1471718271",W364:W372),2)</f>
        <v>0</v>
      </c>
      <c r="AK374" s="2">
        <f>ROUND(SUMIF(AA364:AA372,"=1471718271",X364:X372),2)</f>
        <v>49654.61</v>
      </c>
      <c r="AL374" s="2">
        <f>ROUND(SUMIF(AA364:AA372,"=1471718271",Y364:Y372),2)</f>
        <v>7093.52</v>
      </c>
      <c r="AM374" s="2"/>
      <c r="AN374" s="2"/>
      <c r="AO374" s="2">
        <f t="shared" ref="AO374:BD374" si="343">ROUND(BX374,2)</f>
        <v>0</v>
      </c>
      <c r="AP374" s="2">
        <f t="shared" si="343"/>
        <v>0</v>
      </c>
      <c r="AQ374" s="2">
        <f t="shared" si="343"/>
        <v>0</v>
      </c>
      <c r="AR374" s="2">
        <f t="shared" si="343"/>
        <v>127788.81</v>
      </c>
      <c r="AS374" s="2">
        <f t="shared" si="343"/>
        <v>0</v>
      </c>
      <c r="AT374" s="2">
        <f t="shared" si="343"/>
        <v>0</v>
      </c>
      <c r="AU374" s="2">
        <f t="shared" si="343"/>
        <v>127788.81</v>
      </c>
      <c r="AV374" s="2">
        <f t="shared" si="343"/>
        <v>25.2</v>
      </c>
      <c r="AW374" s="2">
        <f t="shared" si="343"/>
        <v>25.2</v>
      </c>
      <c r="AX374" s="2">
        <f t="shared" si="343"/>
        <v>0</v>
      </c>
      <c r="AY374" s="2">
        <f t="shared" si="343"/>
        <v>25.2</v>
      </c>
      <c r="AZ374" s="2">
        <f t="shared" si="343"/>
        <v>0</v>
      </c>
      <c r="BA374" s="2">
        <f t="shared" si="343"/>
        <v>0</v>
      </c>
      <c r="BB374" s="2">
        <f t="shared" si="343"/>
        <v>0</v>
      </c>
      <c r="BC374" s="2">
        <f t="shared" si="343"/>
        <v>0</v>
      </c>
      <c r="BD374" s="2">
        <f t="shared" si="343"/>
        <v>0</v>
      </c>
      <c r="BE374" s="2"/>
      <c r="BF374" s="2"/>
      <c r="BG374" s="2"/>
      <c r="BH374" s="2"/>
      <c r="BI374" s="2"/>
      <c r="BJ374" s="2"/>
      <c r="BK374" s="2"/>
      <c r="BL374" s="2"/>
      <c r="BM374" s="2"/>
      <c r="BN374" s="2"/>
      <c r="BO374" s="2"/>
      <c r="BP374" s="2"/>
      <c r="BQ374" s="2"/>
      <c r="BR374" s="2"/>
      <c r="BS374" s="2"/>
      <c r="BT374" s="2"/>
      <c r="BU374" s="2"/>
      <c r="BV374" s="2"/>
      <c r="BW374" s="2"/>
      <c r="BX374" s="2">
        <f>ROUND(SUMIF(AA364:AA372,"=1471718271",FQ364:FQ372),2)</f>
        <v>0</v>
      </c>
      <c r="BY374" s="2">
        <f>ROUND(SUMIF(AA364:AA372,"=1471718271",FR364:FR372),2)</f>
        <v>0</v>
      </c>
      <c r="BZ374" s="2">
        <f>ROUND(SUMIF(AA364:AA372,"=1471718271",GL364:GL372),2)</f>
        <v>0</v>
      </c>
      <c r="CA374" s="2">
        <f>ROUND(SUMIF(AA364:AA372,"=1471718271",GM364:GM372),2)</f>
        <v>127788.81</v>
      </c>
      <c r="CB374" s="2">
        <f>ROUND(SUMIF(AA364:AA372,"=1471718271",GN364:GN372),2)</f>
        <v>0</v>
      </c>
      <c r="CC374" s="2">
        <f>ROUND(SUMIF(AA364:AA372,"=1471718271",GO364:GO372),2)</f>
        <v>0</v>
      </c>
      <c r="CD374" s="2">
        <f>ROUND(SUMIF(AA364:AA372,"=1471718271",GP364:GP372),2)</f>
        <v>127788.81</v>
      </c>
      <c r="CE374" s="2">
        <f>AC374-BX374</f>
        <v>25.2</v>
      </c>
      <c r="CF374" s="2">
        <f>AC374-BY374</f>
        <v>25.2</v>
      </c>
      <c r="CG374" s="2">
        <f>BX374-BZ374</f>
        <v>0</v>
      </c>
      <c r="CH374" s="2">
        <f>AC374-BX374-BY374+BZ374</f>
        <v>25.2</v>
      </c>
      <c r="CI374" s="2">
        <f>BY374-BZ374</f>
        <v>0</v>
      </c>
      <c r="CJ374" s="2">
        <f>ROUND(SUMIF(AA364:AA372,"=1471718271",GX364:GX372),2)</f>
        <v>0</v>
      </c>
      <c r="CK374" s="2">
        <f>ROUND(SUMIF(AA364:AA372,"=1471718271",GY364:GY372),2)</f>
        <v>0</v>
      </c>
      <c r="CL374" s="2">
        <f>ROUND(SUMIF(AA364:AA372,"=1471718271",GZ364:GZ372),2)</f>
        <v>0</v>
      </c>
      <c r="CM374" s="2">
        <f>ROUND(SUMIF(AA364:AA372,"=1471718271",HD364:HD372),2)</f>
        <v>0</v>
      </c>
      <c r="CN374" s="2"/>
      <c r="CO374" s="2"/>
      <c r="CP374" s="2"/>
      <c r="CQ374" s="2"/>
      <c r="CR374" s="2"/>
      <c r="CS374" s="2"/>
      <c r="CT374" s="2"/>
      <c r="CU374" s="2"/>
      <c r="CV374" s="2"/>
      <c r="CW374" s="2"/>
      <c r="CX374" s="2"/>
      <c r="CY374" s="2"/>
      <c r="CZ374" s="2"/>
      <c r="DA374" s="2"/>
      <c r="DB374" s="2"/>
      <c r="DC374" s="2"/>
      <c r="DD374" s="2"/>
      <c r="DE374" s="2"/>
      <c r="DF374" s="2"/>
      <c r="DG374" s="3"/>
      <c r="DH374" s="3"/>
      <c r="DI374" s="3"/>
      <c r="DJ374" s="3"/>
      <c r="DK374" s="3"/>
      <c r="DL374" s="3"/>
      <c r="DM374" s="3"/>
      <c r="DN374" s="3"/>
      <c r="DO374" s="3"/>
      <c r="DP374" s="3"/>
      <c r="DQ374" s="3"/>
      <c r="DR374" s="3"/>
      <c r="DS374" s="3"/>
      <c r="DT374" s="3"/>
      <c r="DU374" s="3"/>
      <c r="DV374" s="3"/>
      <c r="DW374" s="3"/>
      <c r="DX374" s="3"/>
      <c r="DY374" s="3"/>
      <c r="DZ374" s="3"/>
      <c r="EA374" s="3"/>
      <c r="EB374" s="3"/>
      <c r="EC374" s="3"/>
      <c r="ED374" s="3"/>
      <c r="EE374" s="3"/>
      <c r="EF374" s="3"/>
      <c r="EG374" s="3"/>
      <c r="EH374" s="3"/>
      <c r="EI374" s="3"/>
      <c r="EJ374" s="3"/>
      <c r="EK374" s="3"/>
      <c r="EL374" s="3"/>
      <c r="EM374" s="3"/>
      <c r="EN374" s="3"/>
      <c r="EO374" s="3"/>
      <c r="EP374" s="3"/>
      <c r="EQ374" s="3"/>
      <c r="ER374" s="3"/>
      <c r="ES374" s="3"/>
      <c r="ET374" s="3"/>
      <c r="EU374" s="3"/>
      <c r="EV374" s="3"/>
      <c r="EW374" s="3"/>
      <c r="EX374" s="3"/>
      <c r="EY374" s="3"/>
      <c r="EZ374" s="3"/>
      <c r="FA374" s="3"/>
      <c r="FB374" s="3"/>
      <c r="FC374" s="3"/>
      <c r="FD374" s="3"/>
      <c r="FE374" s="3"/>
      <c r="FF374" s="3"/>
      <c r="FG374" s="3"/>
      <c r="FH374" s="3"/>
      <c r="FI374" s="3"/>
      <c r="FJ374" s="3"/>
      <c r="FK374" s="3"/>
      <c r="FL374" s="3"/>
      <c r="FM374" s="3"/>
      <c r="FN374" s="3"/>
      <c r="FO374" s="3"/>
      <c r="FP374" s="3"/>
      <c r="FQ374" s="3"/>
      <c r="FR374" s="3"/>
      <c r="FS374" s="3"/>
      <c r="FT374" s="3"/>
      <c r="FU374" s="3"/>
      <c r="FV374" s="3"/>
      <c r="FW374" s="3"/>
      <c r="FX374" s="3"/>
      <c r="FY374" s="3"/>
      <c r="FZ374" s="3"/>
      <c r="GA374" s="3"/>
      <c r="GB374" s="3"/>
      <c r="GC374" s="3"/>
      <c r="GD374" s="3"/>
      <c r="GE374" s="3"/>
      <c r="GF374" s="3"/>
      <c r="GG374" s="3"/>
      <c r="GH374" s="3"/>
      <c r="GI374" s="3"/>
      <c r="GJ374" s="3"/>
      <c r="GK374" s="3"/>
      <c r="GL374" s="3"/>
      <c r="GM374" s="3"/>
      <c r="GN374" s="3"/>
      <c r="GO374" s="3"/>
      <c r="GP374" s="3"/>
      <c r="GQ374" s="3"/>
      <c r="GR374" s="3"/>
      <c r="GS374" s="3"/>
      <c r="GT374" s="3"/>
      <c r="GU374" s="3"/>
      <c r="GV374" s="3"/>
      <c r="GW374" s="3"/>
      <c r="GX374" s="3">
        <v>0</v>
      </c>
    </row>
    <row r="376" spans="1:245" x14ac:dyDescent="0.2">
      <c r="A376" s="4">
        <v>50</v>
      </c>
      <c r="B376" s="4">
        <v>0</v>
      </c>
      <c r="C376" s="4">
        <v>0</v>
      </c>
      <c r="D376" s="4">
        <v>1</v>
      </c>
      <c r="E376" s="4">
        <v>201</v>
      </c>
      <c r="F376" s="4">
        <f>ROUND(Source!O374,O376)</f>
        <v>71039.55</v>
      </c>
      <c r="G376" s="4" t="s">
        <v>98</v>
      </c>
      <c r="H376" s="4" t="s">
        <v>99</v>
      </c>
      <c r="I376" s="4"/>
      <c r="J376" s="4"/>
      <c r="K376" s="4">
        <v>201</v>
      </c>
      <c r="L376" s="4">
        <v>1</v>
      </c>
      <c r="M376" s="4">
        <v>3</v>
      </c>
      <c r="N376" s="4" t="s">
        <v>3</v>
      </c>
      <c r="O376" s="4">
        <v>2</v>
      </c>
      <c r="P376" s="4"/>
      <c r="Q376" s="4"/>
      <c r="R376" s="4"/>
      <c r="S376" s="4"/>
      <c r="T376" s="4"/>
      <c r="U376" s="4"/>
      <c r="V376" s="4"/>
      <c r="W376" s="4">
        <v>71039.55</v>
      </c>
      <c r="X376" s="4">
        <v>1</v>
      </c>
      <c r="Y376" s="4">
        <v>71039.55</v>
      </c>
      <c r="Z376" s="4"/>
      <c r="AA376" s="4"/>
      <c r="AB376" s="4"/>
    </row>
    <row r="377" spans="1:245" x14ac:dyDescent="0.2">
      <c r="A377" s="4">
        <v>50</v>
      </c>
      <c r="B377" s="4">
        <v>0</v>
      </c>
      <c r="C377" s="4">
        <v>0</v>
      </c>
      <c r="D377" s="4">
        <v>1</v>
      </c>
      <c r="E377" s="4">
        <v>202</v>
      </c>
      <c r="F377" s="4">
        <f>ROUND(Source!P374,O377)</f>
        <v>25.2</v>
      </c>
      <c r="G377" s="4" t="s">
        <v>100</v>
      </c>
      <c r="H377" s="4" t="s">
        <v>101</v>
      </c>
      <c r="I377" s="4"/>
      <c r="J377" s="4"/>
      <c r="K377" s="4">
        <v>202</v>
      </c>
      <c r="L377" s="4">
        <v>2</v>
      </c>
      <c r="M377" s="4">
        <v>3</v>
      </c>
      <c r="N377" s="4" t="s">
        <v>3</v>
      </c>
      <c r="O377" s="4">
        <v>2</v>
      </c>
      <c r="P377" s="4"/>
      <c r="Q377" s="4"/>
      <c r="R377" s="4"/>
      <c r="S377" s="4"/>
      <c r="T377" s="4"/>
      <c r="U377" s="4"/>
      <c r="V377" s="4"/>
      <c r="W377" s="4">
        <v>25.2</v>
      </c>
      <c r="X377" s="4">
        <v>1</v>
      </c>
      <c r="Y377" s="4">
        <v>25.2</v>
      </c>
      <c r="Z377" s="4"/>
      <c r="AA377" s="4"/>
      <c r="AB377" s="4"/>
    </row>
    <row r="378" spans="1:245" x14ac:dyDescent="0.2">
      <c r="A378" s="4">
        <v>50</v>
      </c>
      <c r="B378" s="4">
        <v>0</v>
      </c>
      <c r="C378" s="4">
        <v>0</v>
      </c>
      <c r="D378" s="4">
        <v>1</v>
      </c>
      <c r="E378" s="4">
        <v>222</v>
      </c>
      <c r="F378" s="4">
        <f>ROUND(Source!AO374,O378)</f>
        <v>0</v>
      </c>
      <c r="G378" s="4" t="s">
        <v>102</v>
      </c>
      <c r="H378" s="4" t="s">
        <v>103</v>
      </c>
      <c r="I378" s="4"/>
      <c r="J378" s="4"/>
      <c r="K378" s="4">
        <v>222</v>
      </c>
      <c r="L378" s="4">
        <v>3</v>
      </c>
      <c r="M378" s="4">
        <v>3</v>
      </c>
      <c r="N378" s="4" t="s">
        <v>3</v>
      </c>
      <c r="O378" s="4">
        <v>2</v>
      </c>
      <c r="P378" s="4"/>
      <c r="Q378" s="4"/>
      <c r="R378" s="4"/>
      <c r="S378" s="4"/>
      <c r="T378" s="4"/>
      <c r="U378" s="4"/>
      <c r="V378" s="4"/>
      <c r="W378" s="4">
        <v>0</v>
      </c>
      <c r="X378" s="4">
        <v>1</v>
      </c>
      <c r="Y378" s="4">
        <v>0</v>
      </c>
      <c r="Z378" s="4"/>
      <c r="AA378" s="4"/>
      <c r="AB378" s="4"/>
    </row>
    <row r="379" spans="1:245" x14ac:dyDescent="0.2">
      <c r="A379" s="4">
        <v>50</v>
      </c>
      <c r="B379" s="4">
        <v>0</v>
      </c>
      <c r="C379" s="4">
        <v>0</v>
      </c>
      <c r="D379" s="4">
        <v>1</v>
      </c>
      <c r="E379" s="4">
        <v>225</v>
      </c>
      <c r="F379" s="4">
        <f>ROUND(Source!AV374,O379)</f>
        <v>25.2</v>
      </c>
      <c r="G379" s="4" t="s">
        <v>104</v>
      </c>
      <c r="H379" s="4" t="s">
        <v>105</v>
      </c>
      <c r="I379" s="4"/>
      <c r="J379" s="4"/>
      <c r="K379" s="4">
        <v>225</v>
      </c>
      <c r="L379" s="4">
        <v>4</v>
      </c>
      <c r="M379" s="4">
        <v>3</v>
      </c>
      <c r="N379" s="4" t="s">
        <v>3</v>
      </c>
      <c r="O379" s="4">
        <v>2</v>
      </c>
      <c r="P379" s="4"/>
      <c r="Q379" s="4"/>
      <c r="R379" s="4"/>
      <c r="S379" s="4"/>
      <c r="T379" s="4"/>
      <c r="U379" s="4"/>
      <c r="V379" s="4"/>
      <c r="W379" s="4">
        <v>25.2</v>
      </c>
      <c r="X379" s="4">
        <v>1</v>
      </c>
      <c r="Y379" s="4">
        <v>25.2</v>
      </c>
      <c r="Z379" s="4"/>
      <c r="AA379" s="4"/>
      <c r="AB379" s="4"/>
    </row>
    <row r="380" spans="1:245" x14ac:dyDescent="0.2">
      <c r="A380" s="4">
        <v>50</v>
      </c>
      <c r="B380" s="4">
        <v>0</v>
      </c>
      <c r="C380" s="4">
        <v>0</v>
      </c>
      <c r="D380" s="4">
        <v>1</v>
      </c>
      <c r="E380" s="4">
        <v>226</v>
      </c>
      <c r="F380" s="4">
        <f>ROUND(Source!AW374,O380)</f>
        <v>25.2</v>
      </c>
      <c r="G380" s="4" t="s">
        <v>106</v>
      </c>
      <c r="H380" s="4" t="s">
        <v>107</v>
      </c>
      <c r="I380" s="4"/>
      <c r="J380" s="4"/>
      <c r="K380" s="4">
        <v>226</v>
      </c>
      <c r="L380" s="4">
        <v>5</v>
      </c>
      <c r="M380" s="4">
        <v>3</v>
      </c>
      <c r="N380" s="4" t="s">
        <v>3</v>
      </c>
      <c r="O380" s="4">
        <v>2</v>
      </c>
      <c r="P380" s="4"/>
      <c r="Q380" s="4"/>
      <c r="R380" s="4"/>
      <c r="S380" s="4"/>
      <c r="T380" s="4"/>
      <c r="U380" s="4"/>
      <c r="V380" s="4"/>
      <c r="W380" s="4">
        <v>25.2</v>
      </c>
      <c r="X380" s="4">
        <v>1</v>
      </c>
      <c r="Y380" s="4">
        <v>25.2</v>
      </c>
      <c r="Z380" s="4"/>
      <c r="AA380" s="4"/>
      <c r="AB380" s="4"/>
    </row>
    <row r="381" spans="1:245" x14ac:dyDescent="0.2">
      <c r="A381" s="4">
        <v>50</v>
      </c>
      <c r="B381" s="4">
        <v>0</v>
      </c>
      <c r="C381" s="4">
        <v>0</v>
      </c>
      <c r="D381" s="4">
        <v>1</v>
      </c>
      <c r="E381" s="4">
        <v>227</v>
      </c>
      <c r="F381" s="4">
        <f>ROUND(Source!AX374,O381)</f>
        <v>0</v>
      </c>
      <c r="G381" s="4" t="s">
        <v>108</v>
      </c>
      <c r="H381" s="4" t="s">
        <v>109</v>
      </c>
      <c r="I381" s="4"/>
      <c r="J381" s="4"/>
      <c r="K381" s="4">
        <v>227</v>
      </c>
      <c r="L381" s="4">
        <v>6</v>
      </c>
      <c r="M381" s="4">
        <v>3</v>
      </c>
      <c r="N381" s="4" t="s">
        <v>3</v>
      </c>
      <c r="O381" s="4">
        <v>2</v>
      </c>
      <c r="P381" s="4"/>
      <c r="Q381" s="4"/>
      <c r="R381" s="4"/>
      <c r="S381" s="4"/>
      <c r="T381" s="4"/>
      <c r="U381" s="4"/>
      <c r="V381" s="4"/>
      <c r="W381" s="4">
        <v>0</v>
      </c>
      <c r="X381" s="4">
        <v>1</v>
      </c>
      <c r="Y381" s="4">
        <v>0</v>
      </c>
      <c r="Z381" s="4"/>
      <c r="AA381" s="4"/>
      <c r="AB381" s="4"/>
    </row>
    <row r="382" spans="1:245" x14ac:dyDescent="0.2">
      <c r="A382" s="4">
        <v>50</v>
      </c>
      <c r="B382" s="4">
        <v>0</v>
      </c>
      <c r="C382" s="4">
        <v>0</v>
      </c>
      <c r="D382" s="4">
        <v>1</v>
      </c>
      <c r="E382" s="4">
        <v>228</v>
      </c>
      <c r="F382" s="4">
        <f>ROUND(Source!AY374,O382)</f>
        <v>25.2</v>
      </c>
      <c r="G382" s="4" t="s">
        <v>110</v>
      </c>
      <c r="H382" s="4" t="s">
        <v>111</v>
      </c>
      <c r="I382" s="4"/>
      <c r="J382" s="4"/>
      <c r="K382" s="4">
        <v>228</v>
      </c>
      <c r="L382" s="4">
        <v>7</v>
      </c>
      <c r="M382" s="4">
        <v>3</v>
      </c>
      <c r="N382" s="4" t="s">
        <v>3</v>
      </c>
      <c r="O382" s="4">
        <v>2</v>
      </c>
      <c r="P382" s="4"/>
      <c r="Q382" s="4"/>
      <c r="R382" s="4"/>
      <c r="S382" s="4"/>
      <c r="T382" s="4"/>
      <c r="U382" s="4"/>
      <c r="V382" s="4"/>
      <c r="W382" s="4">
        <v>25.2</v>
      </c>
      <c r="X382" s="4">
        <v>1</v>
      </c>
      <c r="Y382" s="4">
        <v>25.2</v>
      </c>
      <c r="Z382" s="4"/>
      <c r="AA382" s="4"/>
      <c r="AB382" s="4"/>
    </row>
    <row r="383" spans="1:245" x14ac:dyDescent="0.2">
      <c r="A383" s="4">
        <v>50</v>
      </c>
      <c r="B383" s="4">
        <v>0</v>
      </c>
      <c r="C383" s="4">
        <v>0</v>
      </c>
      <c r="D383" s="4">
        <v>1</v>
      </c>
      <c r="E383" s="4">
        <v>216</v>
      </c>
      <c r="F383" s="4">
        <f>ROUND(Source!AP374,O383)</f>
        <v>0</v>
      </c>
      <c r="G383" s="4" t="s">
        <v>112</v>
      </c>
      <c r="H383" s="4" t="s">
        <v>113</v>
      </c>
      <c r="I383" s="4"/>
      <c r="J383" s="4"/>
      <c r="K383" s="4">
        <v>216</v>
      </c>
      <c r="L383" s="4">
        <v>8</v>
      </c>
      <c r="M383" s="4">
        <v>3</v>
      </c>
      <c r="N383" s="4" t="s">
        <v>3</v>
      </c>
      <c r="O383" s="4">
        <v>2</v>
      </c>
      <c r="P383" s="4"/>
      <c r="Q383" s="4"/>
      <c r="R383" s="4"/>
      <c r="S383" s="4"/>
      <c r="T383" s="4"/>
      <c r="U383" s="4"/>
      <c r="V383" s="4"/>
      <c r="W383" s="4">
        <v>0</v>
      </c>
      <c r="X383" s="4">
        <v>1</v>
      </c>
      <c r="Y383" s="4">
        <v>0</v>
      </c>
      <c r="Z383" s="4"/>
      <c r="AA383" s="4"/>
      <c r="AB383" s="4"/>
    </row>
    <row r="384" spans="1:245" x14ac:dyDescent="0.2">
      <c r="A384" s="4">
        <v>50</v>
      </c>
      <c r="B384" s="4">
        <v>0</v>
      </c>
      <c r="C384" s="4">
        <v>0</v>
      </c>
      <c r="D384" s="4">
        <v>1</v>
      </c>
      <c r="E384" s="4">
        <v>223</v>
      </c>
      <c r="F384" s="4">
        <f>ROUND(Source!AQ374,O384)</f>
        <v>0</v>
      </c>
      <c r="G384" s="4" t="s">
        <v>114</v>
      </c>
      <c r="H384" s="4" t="s">
        <v>115</v>
      </c>
      <c r="I384" s="4"/>
      <c r="J384" s="4"/>
      <c r="K384" s="4">
        <v>223</v>
      </c>
      <c r="L384" s="4">
        <v>9</v>
      </c>
      <c r="M384" s="4">
        <v>3</v>
      </c>
      <c r="N384" s="4" t="s">
        <v>3</v>
      </c>
      <c r="O384" s="4">
        <v>2</v>
      </c>
      <c r="P384" s="4"/>
      <c r="Q384" s="4"/>
      <c r="R384" s="4"/>
      <c r="S384" s="4"/>
      <c r="T384" s="4"/>
      <c r="U384" s="4"/>
      <c r="V384" s="4"/>
      <c r="W384" s="4">
        <v>0</v>
      </c>
      <c r="X384" s="4">
        <v>1</v>
      </c>
      <c r="Y384" s="4">
        <v>0</v>
      </c>
      <c r="Z384" s="4"/>
      <c r="AA384" s="4"/>
      <c r="AB384" s="4"/>
    </row>
    <row r="385" spans="1:28" x14ac:dyDescent="0.2">
      <c r="A385" s="4">
        <v>50</v>
      </c>
      <c r="B385" s="4">
        <v>0</v>
      </c>
      <c r="C385" s="4">
        <v>0</v>
      </c>
      <c r="D385" s="4">
        <v>1</v>
      </c>
      <c r="E385" s="4">
        <v>229</v>
      </c>
      <c r="F385" s="4">
        <f>ROUND(Source!AZ374,O385)</f>
        <v>0</v>
      </c>
      <c r="G385" s="4" t="s">
        <v>116</v>
      </c>
      <c r="H385" s="4" t="s">
        <v>117</v>
      </c>
      <c r="I385" s="4"/>
      <c r="J385" s="4"/>
      <c r="K385" s="4">
        <v>229</v>
      </c>
      <c r="L385" s="4">
        <v>10</v>
      </c>
      <c r="M385" s="4">
        <v>3</v>
      </c>
      <c r="N385" s="4" t="s">
        <v>3</v>
      </c>
      <c r="O385" s="4">
        <v>2</v>
      </c>
      <c r="P385" s="4"/>
      <c r="Q385" s="4"/>
      <c r="R385" s="4"/>
      <c r="S385" s="4"/>
      <c r="T385" s="4"/>
      <c r="U385" s="4"/>
      <c r="V385" s="4"/>
      <c r="W385" s="4">
        <v>0</v>
      </c>
      <c r="X385" s="4">
        <v>1</v>
      </c>
      <c r="Y385" s="4">
        <v>0</v>
      </c>
      <c r="Z385" s="4"/>
      <c r="AA385" s="4"/>
      <c r="AB385" s="4"/>
    </row>
    <row r="386" spans="1:28" x14ac:dyDescent="0.2">
      <c r="A386" s="4">
        <v>50</v>
      </c>
      <c r="B386" s="4">
        <v>0</v>
      </c>
      <c r="C386" s="4">
        <v>0</v>
      </c>
      <c r="D386" s="4">
        <v>1</v>
      </c>
      <c r="E386" s="4">
        <v>203</v>
      </c>
      <c r="F386" s="4">
        <f>ROUND(Source!Q374,O386)</f>
        <v>79.2</v>
      </c>
      <c r="G386" s="4" t="s">
        <v>118</v>
      </c>
      <c r="H386" s="4" t="s">
        <v>119</v>
      </c>
      <c r="I386" s="4"/>
      <c r="J386" s="4"/>
      <c r="K386" s="4">
        <v>203</v>
      </c>
      <c r="L386" s="4">
        <v>11</v>
      </c>
      <c r="M386" s="4">
        <v>3</v>
      </c>
      <c r="N386" s="4" t="s">
        <v>3</v>
      </c>
      <c r="O386" s="4">
        <v>2</v>
      </c>
      <c r="P386" s="4"/>
      <c r="Q386" s="4"/>
      <c r="R386" s="4"/>
      <c r="S386" s="4"/>
      <c r="T386" s="4"/>
      <c r="U386" s="4"/>
      <c r="V386" s="4"/>
      <c r="W386" s="4">
        <v>79.2</v>
      </c>
      <c r="X386" s="4">
        <v>1</v>
      </c>
      <c r="Y386" s="4">
        <v>79.2</v>
      </c>
      <c r="Z386" s="4"/>
      <c r="AA386" s="4"/>
      <c r="AB386" s="4"/>
    </row>
    <row r="387" spans="1:28" x14ac:dyDescent="0.2">
      <c r="A387" s="4">
        <v>50</v>
      </c>
      <c r="B387" s="4">
        <v>0</v>
      </c>
      <c r="C387" s="4">
        <v>0</v>
      </c>
      <c r="D387" s="4">
        <v>1</v>
      </c>
      <c r="E387" s="4">
        <v>231</v>
      </c>
      <c r="F387" s="4">
        <f>ROUND(Source!BB374,O387)</f>
        <v>0</v>
      </c>
      <c r="G387" s="4" t="s">
        <v>120</v>
      </c>
      <c r="H387" s="4" t="s">
        <v>121</v>
      </c>
      <c r="I387" s="4"/>
      <c r="J387" s="4"/>
      <c r="K387" s="4">
        <v>231</v>
      </c>
      <c r="L387" s="4">
        <v>12</v>
      </c>
      <c r="M387" s="4">
        <v>3</v>
      </c>
      <c r="N387" s="4" t="s">
        <v>3</v>
      </c>
      <c r="O387" s="4">
        <v>2</v>
      </c>
      <c r="P387" s="4"/>
      <c r="Q387" s="4"/>
      <c r="R387" s="4"/>
      <c r="S387" s="4"/>
      <c r="T387" s="4"/>
      <c r="U387" s="4"/>
      <c r="V387" s="4"/>
      <c r="W387" s="4">
        <v>0</v>
      </c>
      <c r="X387" s="4">
        <v>1</v>
      </c>
      <c r="Y387" s="4">
        <v>0</v>
      </c>
      <c r="Z387" s="4"/>
      <c r="AA387" s="4"/>
      <c r="AB387" s="4"/>
    </row>
    <row r="388" spans="1:28" x14ac:dyDescent="0.2">
      <c r="A388" s="4">
        <v>50</v>
      </c>
      <c r="B388" s="4">
        <v>0</v>
      </c>
      <c r="C388" s="4">
        <v>0</v>
      </c>
      <c r="D388" s="4">
        <v>1</v>
      </c>
      <c r="E388" s="4">
        <v>204</v>
      </c>
      <c r="F388" s="4">
        <f>ROUND(Source!R374,O388)</f>
        <v>1.05</v>
      </c>
      <c r="G388" s="4" t="s">
        <v>122</v>
      </c>
      <c r="H388" s="4" t="s">
        <v>123</v>
      </c>
      <c r="I388" s="4"/>
      <c r="J388" s="4"/>
      <c r="K388" s="4">
        <v>204</v>
      </c>
      <c r="L388" s="4">
        <v>13</v>
      </c>
      <c r="M388" s="4">
        <v>3</v>
      </c>
      <c r="N388" s="4" t="s">
        <v>3</v>
      </c>
      <c r="O388" s="4">
        <v>2</v>
      </c>
      <c r="P388" s="4"/>
      <c r="Q388" s="4"/>
      <c r="R388" s="4"/>
      <c r="S388" s="4"/>
      <c r="T388" s="4"/>
      <c r="U388" s="4"/>
      <c r="V388" s="4"/>
      <c r="W388" s="4">
        <v>1.05</v>
      </c>
      <c r="X388" s="4">
        <v>1</v>
      </c>
      <c r="Y388" s="4">
        <v>1.05</v>
      </c>
      <c r="Z388" s="4"/>
      <c r="AA388" s="4"/>
      <c r="AB388" s="4"/>
    </row>
    <row r="389" spans="1:28" x14ac:dyDescent="0.2">
      <c r="A389" s="4">
        <v>50</v>
      </c>
      <c r="B389" s="4">
        <v>0</v>
      </c>
      <c r="C389" s="4">
        <v>0</v>
      </c>
      <c r="D389" s="4">
        <v>1</v>
      </c>
      <c r="E389" s="4">
        <v>205</v>
      </c>
      <c r="F389" s="4">
        <f>ROUND(Source!S374,O389)</f>
        <v>70935.149999999994</v>
      </c>
      <c r="G389" s="4" t="s">
        <v>124</v>
      </c>
      <c r="H389" s="4" t="s">
        <v>125</v>
      </c>
      <c r="I389" s="4"/>
      <c r="J389" s="4"/>
      <c r="K389" s="4">
        <v>205</v>
      </c>
      <c r="L389" s="4">
        <v>14</v>
      </c>
      <c r="M389" s="4">
        <v>3</v>
      </c>
      <c r="N389" s="4" t="s">
        <v>3</v>
      </c>
      <c r="O389" s="4">
        <v>2</v>
      </c>
      <c r="P389" s="4"/>
      <c r="Q389" s="4"/>
      <c r="R389" s="4"/>
      <c r="S389" s="4"/>
      <c r="T389" s="4"/>
      <c r="U389" s="4"/>
      <c r="V389" s="4"/>
      <c r="W389" s="4">
        <v>70935.149999999994</v>
      </c>
      <c r="X389" s="4">
        <v>1</v>
      </c>
      <c r="Y389" s="4">
        <v>70935.149999999994</v>
      </c>
      <c r="Z389" s="4"/>
      <c r="AA389" s="4"/>
      <c r="AB389" s="4"/>
    </row>
    <row r="390" spans="1:28" x14ac:dyDescent="0.2">
      <c r="A390" s="4">
        <v>50</v>
      </c>
      <c r="B390" s="4">
        <v>0</v>
      </c>
      <c r="C390" s="4">
        <v>0</v>
      </c>
      <c r="D390" s="4">
        <v>1</v>
      </c>
      <c r="E390" s="4">
        <v>232</v>
      </c>
      <c r="F390" s="4">
        <f>ROUND(Source!BC374,O390)</f>
        <v>0</v>
      </c>
      <c r="G390" s="4" t="s">
        <v>126</v>
      </c>
      <c r="H390" s="4" t="s">
        <v>127</v>
      </c>
      <c r="I390" s="4"/>
      <c r="J390" s="4"/>
      <c r="K390" s="4">
        <v>232</v>
      </c>
      <c r="L390" s="4">
        <v>15</v>
      </c>
      <c r="M390" s="4">
        <v>3</v>
      </c>
      <c r="N390" s="4" t="s">
        <v>3</v>
      </c>
      <c r="O390" s="4">
        <v>2</v>
      </c>
      <c r="P390" s="4"/>
      <c r="Q390" s="4"/>
      <c r="R390" s="4"/>
      <c r="S390" s="4"/>
      <c r="T390" s="4"/>
      <c r="U390" s="4"/>
      <c r="V390" s="4"/>
      <c r="W390" s="4">
        <v>0</v>
      </c>
      <c r="X390" s="4">
        <v>1</v>
      </c>
      <c r="Y390" s="4">
        <v>0</v>
      </c>
      <c r="Z390" s="4"/>
      <c r="AA390" s="4"/>
      <c r="AB390" s="4"/>
    </row>
    <row r="391" spans="1:28" x14ac:dyDescent="0.2">
      <c r="A391" s="4">
        <v>50</v>
      </c>
      <c r="B391" s="4">
        <v>0</v>
      </c>
      <c r="C391" s="4">
        <v>0</v>
      </c>
      <c r="D391" s="4">
        <v>1</v>
      </c>
      <c r="E391" s="4">
        <v>214</v>
      </c>
      <c r="F391" s="4">
        <f>ROUND(Source!AS374,O391)</f>
        <v>0</v>
      </c>
      <c r="G391" s="4" t="s">
        <v>128</v>
      </c>
      <c r="H391" s="4" t="s">
        <v>129</v>
      </c>
      <c r="I391" s="4"/>
      <c r="J391" s="4"/>
      <c r="K391" s="4">
        <v>214</v>
      </c>
      <c r="L391" s="4">
        <v>16</v>
      </c>
      <c r="M391" s="4">
        <v>3</v>
      </c>
      <c r="N391" s="4" t="s">
        <v>3</v>
      </c>
      <c r="O391" s="4">
        <v>2</v>
      </c>
      <c r="P391" s="4"/>
      <c r="Q391" s="4"/>
      <c r="R391" s="4"/>
      <c r="S391" s="4"/>
      <c r="T391" s="4"/>
      <c r="U391" s="4"/>
      <c r="V391" s="4"/>
      <c r="W391" s="4">
        <v>0</v>
      </c>
      <c r="X391" s="4">
        <v>1</v>
      </c>
      <c r="Y391" s="4">
        <v>0</v>
      </c>
      <c r="Z391" s="4"/>
      <c r="AA391" s="4"/>
      <c r="AB391" s="4"/>
    </row>
    <row r="392" spans="1:28" x14ac:dyDescent="0.2">
      <c r="A392" s="4">
        <v>50</v>
      </c>
      <c r="B392" s="4">
        <v>0</v>
      </c>
      <c r="C392" s="4">
        <v>0</v>
      </c>
      <c r="D392" s="4">
        <v>1</v>
      </c>
      <c r="E392" s="4">
        <v>215</v>
      </c>
      <c r="F392" s="4">
        <f>ROUND(Source!AT374,O392)</f>
        <v>0</v>
      </c>
      <c r="G392" s="4" t="s">
        <v>130</v>
      </c>
      <c r="H392" s="4" t="s">
        <v>131</v>
      </c>
      <c r="I392" s="4"/>
      <c r="J392" s="4"/>
      <c r="K392" s="4">
        <v>215</v>
      </c>
      <c r="L392" s="4">
        <v>17</v>
      </c>
      <c r="M392" s="4">
        <v>3</v>
      </c>
      <c r="N392" s="4" t="s">
        <v>3</v>
      </c>
      <c r="O392" s="4">
        <v>2</v>
      </c>
      <c r="P392" s="4"/>
      <c r="Q392" s="4"/>
      <c r="R392" s="4"/>
      <c r="S392" s="4"/>
      <c r="T392" s="4"/>
      <c r="U392" s="4"/>
      <c r="V392" s="4"/>
      <c r="W392" s="4">
        <v>0</v>
      </c>
      <c r="X392" s="4">
        <v>1</v>
      </c>
      <c r="Y392" s="4">
        <v>0</v>
      </c>
      <c r="Z392" s="4"/>
      <c r="AA392" s="4"/>
      <c r="AB392" s="4"/>
    </row>
    <row r="393" spans="1:28" x14ac:dyDescent="0.2">
      <c r="A393" s="4">
        <v>50</v>
      </c>
      <c r="B393" s="4">
        <v>0</v>
      </c>
      <c r="C393" s="4">
        <v>0</v>
      </c>
      <c r="D393" s="4">
        <v>1</v>
      </c>
      <c r="E393" s="4">
        <v>217</v>
      </c>
      <c r="F393" s="4">
        <f>ROUND(Source!AU374,O393)</f>
        <v>127788.81</v>
      </c>
      <c r="G393" s="4" t="s">
        <v>132</v>
      </c>
      <c r="H393" s="4" t="s">
        <v>133</v>
      </c>
      <c r="I393" s="4"/>
      <c r="J393" s="4"/>
      <c r="K393" s="4">
        <v>217</v>
      </c>
      <c r="L393" s="4">
        <v>18</v>
      </c>
      <c r="M393" s="4">
        <v>3</v>
      </c>
      <c r="N393" s="4" t="s">
        <v>3</v>
      </c>
      <c r="O393" s="4">
        <v>2</v>
      </c>
      <c r="P393" s="4"/>
      <c r="Q393" s="4"/>
      <c r="R393" s="4"/>
      <c r="S393" s="4"/>
      <c r="T393" s="4"/>
      <c r="U393" s="4"/>
      <c r="V393" s="4"/>
      <c r="W393" s="4">
        <v>127788.81</v>
      </c>
      <c r="X393" s="4">
        <v>1</v>
      </c>
      <c r="Y393" s="4">
        <v>127788.81</v>
      </c>
      <c r="Z393" s="4"/>
      <c r="AA393" s="4"/>
      <c r="AB393" s="4"/>
    </row>
    <row r="394" spans="1:28" x14ac:dyDescent="0.2">
      <c r="A394" s="4">
        <v>50</v>
      </c>
      <c r="B394" s="4">
        <v>0</v>
      </c>
      <c r="C394" s="4">
        <v>0</v>
      </c>
      <c r="D394" s="4">
        <v>1</v>
      </c>
      <c r="E394" s="4">
        <v>230</v>
      </c>
      <c r="F394" s="4">
        <f>ROUND(Source!BA374,O394)</f>
        <v>0</v>
      </c>
      <c r="G394" s="4" t="s">
        <v>134</v>
      </c>
      <c r="H394" s="4" t="s">
        <v>135</v>
      </c>
      <c r="I394" s="4"/>
      <c r="J394" s="4"/>
      <c r="K394" s="4">
        <v>230</v>
      </c>
      <c r="L394" s="4">
        <v>19</v>
      </c>
      <c r="M394" s="4">
        <v>3</v>
      </c>
      <c r="N394" s="4" t="s">
        <v>3</v>
      </c>
      <c r="O394" s="4">
        <v>2</v>
      </c>
      <c r="P394" s="4"/>
      <c r="Q394" s="4"/>
      <c r="R394" s="4"/>
      <c r="S394" s="4"/>
      <c r="T394" s="4"/>
      <c r="U394" s="4"/>
      <c r="V394" s="4"/>
      <c r="W394" s="4">
        <v>0</v>
      </c>
      <c r="X394" s="4">
        <v>1</v>
      </c>
      <c r="Y394" s="4">
        <v>0</v>
      </c>
      <c r="Z394" s="4"/>
      <c r="AA394" s="4"/>
      <c r="AB394" s="4"/>
    </row>
    <row r="395" spans="1:28" x14ac:dyDescent="0.2">
      <c r="A395" s="4">
        <v>50</v>
      </c>
      <c r="B395" s="4">
        <v>0</v>
      </c>
      <c r="C395" s="4">
        <v>0</v>
      </c>
      <c r="D395" s="4">
        <v>1</v>
      </c>
      <c r="E395" s="4">
        <v>206</v>
      </c>
      <c r="F395" s="4">
        <f>ROUND(Source!T374,O395)</f>
        <v>0</v>
      </c>
      <c r="G395" s="4" t="s">
        <v>136</v>
      </c>
      <c r="H395" s="4" t="s">
        <v>137</v>
      </c>
      <c r="I395" s="4"/>
      <c r="J395" s="4"/>
      <c r="K395" s="4">
        <v>206</v>
      </c>
      <c r="L395" s="4">
        <v>20</v>
      </c>
      <c r="M395" s="4">
        <v>3</v>
      </c>
      <c r="N395" s="4" t="s">
        <v>3</v>
      </c>
      <c r="O395" s="4">
        <v>2</v>
      </c>
      <c r="P395" s="4"/>
      <c r="Q395" s="4"/>
      <c r="R395" s="4"/>
      <c r="S395" s="4"/>
      <c r="T395" s="4"/>
      <c r="U395" s="4"/>
      <c r="V395" s="4"/>
      <c r="W395" s="4">
        <v>0</v>
      </c>
      <c r="X395" s="4">
        <v>1</v>
      </c>
      <c r="Y395" s="4">
        <v>0</v>
      </c>
      <c r="Z395" s="4"/>
      <c r="AA395" s="4"/>
      <c r="AB395" s="4"/>
    </row>
    <row r="396" spans="1:28" x14ac:dyDescent="0.2">
      <c r="A396" s="4">
        <v>50</v>
      </c>
      <c r="B396" s="4">
        <v>0</v>
      </c>
      <c r="C396" s="4">
        <v>0</v>
      </c>
      <c r="D396" s="4">
        <v>1</v>
      </c>
      <c r="E396" s="4">
        <v>207</v>
      </c>
      <c r="F396" s="4">
        <f>Source!U374</f>
        <v>111.3</v>
      </c>
      <c r="G396" s="4" t="s">
        <v>138</v>
      </c>
      <c r="H396" s="4" t="s">
        <v>139</v>
      </c>
      <c r="I396" s="4"/>
      <c r="J396" s="4"/>
      <c r="K396" s="4">
        <v>207</v>
      </c>
      <c r="L396" s="4">
        <v>21</v>
      </c>
      <c r="M396" s="4">
        <v>3</v>
      </c>
      <c r="N396" s="4" t="s">
        <v>3</v>
      </c>
      <c r="O396" s="4">
        <v>-1</v>
      </c>
      <c r="P396" s="4"/>
      <c r="Q396" s="4"/>
      <c r="R396" s="4"/>
      <c r="S396" s="4"/>
      <c r="T396" s="4"/>
      <c r="U396" s="4"/>
      <c r="V396" s="4"/>
      <c r="W396" s="4">
        <v>111.3</v>
      </c>
      <c r="X396" s="4">
        <v>1</v>
      </c>
      <c r="Y396" s="4">
        <v>111.3</v>
      </c>
      <c r="Z396" s="4"/>
      <c r="AA396" s="4"/>
      <c r="AB396" s="4"/>
    </row>
    <row r="397" spans="1:28" x14ac:dyDescent="0.2">
      <c r="A397" s="4">
        <v>50</v>
      </c>
      <c r="B397" s="4">
        <v>0</v>
      </c>
      <c r="C397" s="4">
        <v>0</v>
      </c>
      <c r="D397" s="4">
        <v>1</v>
      </c>
      <c r="E397" s="4">
        <v>208</v>
      </c>
      <c r="F397" s="4">
        <f>Source!V374</f>
        <v>0</v>
      </c>
      <c r="G397" s="4" t="s">
        <v>140</v>
      </c>
      <c r="H397" s="4" t="s">
        <v>141</v>
      </c>
      <c r="I397" s="4"/>
      <c r="J397" s="4"/>
      <c r="K397" s="4">
        <v>208</v>
      </c>
      <c r="L397" s="4">
        <v>22</v>
      </c>
      <c r="M397" s="4">
        <v>3</v>
      </c>
      <c r="N397" s="4" t="s">
        <v>3</v>
      </c>
      <c r="O397" s="4">
        <v>-1</v>
      </c>
      <c r="P397" s="4"/>
      <c r="Q397" s="4"/>
      <c r="R397" s="4"/>
      <c r="S397" s="4"/>
      <c r="T397" s="4"/>
      <c r="U397" s="4"/>
      <c r="V397" s="4"/>
      <c r="W397" s="4">
        <v>0</v>
      </c>
      <c r="X397" s="4">
        <v>1</v>
      </c>
      <c r="Y397" s="4">
        <v>0</v>
      </c>
      <c r="Z397" s="4"/>
      <c r="AA397" s="4"/>
      <c r="AB397" s="4"/>
    </row>
    <row r="398" spans="1:28" x14ac:dyDescent="0.2">
      <c r="A398" s="4">
        <v>50</v>
      </c>
      <c r="B398" s="4">
        <v>0</v>
      </c>
      <c r="C398" s="4">
        <v>0</v>
      </c>
      <c r="D398" s="4">
        <v>1</v>
      </c>
      <c r="E398" s="4">
        <v>209</v>
      </c>
      <c r="F398" s="4">
        <f>ROUND(Source!W374,O398)</f>
        <v>0</v>
      </c>
      <c r="G398" s="4" t="s">
        <v>142</v>
      </c>
      <c r="H398" s="4" t="s">
        <v>143</v>
      </c>
      <c r="I398" s="4"/>
      <c r="J398" s="4"/>
      <c r="K398" s="4">
        <v>209</v>
      </c>
      <c r="L398" s="4">
        <v>23</v>
      </c>
      <c r="M398" s="4">
        <v>3</v>
      </c>
      <c r="N398" s="4" t="s">
        <v>3</v>
      </c>
      <c r="O398" s="4">
        <v>2</v>
      </c>
      <c r="P398" s="4"/>
      <c r="Q398" s="4"/>
      <c r="R398" s="4"/>
      <c r="S398" s="4"/>
      <c r="T398" s="4"/>
      <c r="U398" s="4"/>
      <c r="V398" s="4"/>
      <c r="W398" s="4">
        <v>0</v>
      </c>
      <c r="X398" s="4">
        <v>1</v>
      </c>
      <c r="Y398" s="4">
        <v>0</v>
      </c>
      <c r="Z398" s="4"/>
      <c r="AA398" s="4"/>
      <c r="AB398" s="4"/>
    </row>
    <row r="399" spans="1:28" x14ac:dyDescent="0.2">
      <c r="A399" s="4">
        <v>50</v>
      </c>
      <c r="B399" s="4">
        <v>0</v>
      </c>
      <c r="C399" s="4">
        <v>0</v>
      </c>
      <c r="D399" s="4">
        <v>1</v>
      </c>
      <c r="E399" s="4">
        <v>233</v>
      </c>
      <c r="F399" s="4">
        <f>ROUND(Source!BD374,O399)</f>
        <v>0</v>
      </c>
      <c r="G399" s="4" t="s">
        <v>144</v>
      </c>
      <c r="H399" s="4" t="s">
        <v>145</v>
      </c>
      <c r="I399" s="4"/>
      <c r="J399" s="4"/>
      <c r="K399" s="4">
        <v>233</v>
      </c>
      <c r="L399" s="4">
        <v>24</v>
      </c>
      <c r="M399" s="4">
        <v>3</v>
      </c>
      <c r="N399" s="4" t="s">
        <v>3</v>
      </c>
      <c r="O399" s="4">
        <v>2</v>
      </c>
      <c r="P399" s="4"/>
      <c r="Q399" s="4"/>
      <c r="R399" s="4"/>
      <c r="S399" s="4"/>
      <c r="T399" s="4"/>
      <c r="U399" s="4"/>
      <c r="V399" s="4"/>
      <c r="W399" s="4">
        <v>0</v>
      </c>
      <c r="X399" s="4">
        <v>1</v>
      </c>
      <c r="Y399" s="4">
        <v>0</v>
      </c>
      <c r="Z399" s="4"/>
      <c r="AA399" s="4"/>
      <c r="AB399" s="4"/>
    </row>
    <row r="400" spans="1:28" x14ac:dyDescent="0.2">
      <c r="A400" s="4">
        <v>50</v>
      </c>
      <c r="B400" s="4">
        <v>0</v>
      </c>
      <c r="C400" s="4">
        <v>0</v>
      </c>
      <c r="D400" s="4">
        <v>1</v>
      </c>
      <c r="E400" s="4">
        <v>210</v>
      </c>
      <c r="F400" s="4">
        <f>ROUND(Source!X374,O400)</f>
        <v>49654.61</v>
      </c>
      <c r="G400" s="4" t="s">
        <v>146</v>
      </c>
      <c r="H400" s="4" t="s">
        <v>147</v>
      </c>
      <c r="I400" s="4"/>
      <c r="J400" s="4"/>
      <c r="K400" s="4">
        <v>210</v>
      </c>
      <c r="L400" s="4">
        <v>25</v>
      </c>
      <c r="M400" s="4">
        <v>3</v>
      </c>
      <c r="N400" s="4" t="s">
        <v>3</v>
      </c>
      <c r="O400" s="4">
        <v>2</v>
      </c>
      <c r="P400" s="4"/>
      <c r="Q400" s="4"/>
      <c r="R400" s="4"/>
      <c r="S400" s="4"/>
      <c r="T400" s="4"/>
      <c r="U400" s="4"/>
      <c r="V400" s="4"/>
      <c r="W400" s="4">
        <v>49654.61</v>
      </c>
      <c r="X400" s="4">
        <v>1</v>
      </c>
      <c r="Y400" s="4">
        <v>49654.61</v>
      </c>
      <c r="Z400" s="4"/>
      <c r="AA400" s="4"/>
      <c r="AB400" s="4"/>
    </row>
    <row r="401" spans="1:245" x14ac:dyDescent="0.2">
      <c r="A401" s="4">
        <v>50</v>
      </c>
      <c r="B401" s="4">
        <v>0</v>
      </c>
      <c r="C401" s="4">
        <v>0</v>
      </c>
      <c r="D401" s="4">
        <v>1</v>
      </c>
      <c r="E401" s="4">
        <v>211</v>
      </c>
      <c r="F401" s="4">
        <f>ROUND(Source!Y374,O401)</f>
        <v>7093.52</v>
      </c>
      <c r="G401" s="4" t="s">
        <v>148</v>
      </c>
      <c r="H401" s="4" t="s">
        <v>149</v>
      </c>
      <c r="I401" s="4"/>
      <c r="J401" s="4"/>
      <c r="K401" s="4">
        <v>211</v>
      </c>
      <c r="L401" s="4">
        <v>26</v>
      </c>
      <c r="M401" s="4">
        <v>3</v>
      </c>
      <c r="N401" s="4" t="s">
        <v>3</v>
      </c>
      <c r="O401" s="4">
        <v>2</v>
      </c>
      <c r="P401" s="4"/>
      <c r="Q401" s="4"/>
      <c r="R401" s="4"/>
      <c r="S401" s="4"/>
      <c r="T401" s="4"/>
      <c r="U401" s="4"/>
      <c r="V401" s="4"/>
      <c r="W401" s="4">
        <v>7093.52</v>
      </c>
      <c r="X401" s="4">
        <v>1</v>
      </c>
      <c r="Y401" s="4">
        <v>7093.52</v>
      </c>
      <c r="Z401" s="4"/>
      <c r="AA401" s="4"/>
      <c r="AB401" s="4"/>
    </row>
    <row r="402" spans="1:245" x14ac:dyDescent="0.2">
      <c r="A402" s="4">
        <v>50</v>
      </c>
      <c r="B402" s="4">
        <v>0</v>
      </c>
      <c r="C402" s="4">
        <v>0</v>
      </c>
      <c r="D402" s="4">
        <v>1</v>
      </c>
      <c r="E402" s="4">
        <v>224</v>
      </c>
      <c r="F402" s="4">
        <f>ROUND(Source!AR374,O402)</f>
        <v>127788.81</v>
      </c>
      <c r="G402" s="4" t="s">
        <v>150</v>
      </c>
      <c r="H402" s="4" t="s">
        <v>151</v>
      </c>
      <c r="I402" s="4"/>
      <c r="J402" s="4"/>
      <c r="K402" s="4">
        <v>224</v>
      </c>
      <c r="L402" s="4">
        <v>27</v>
      </c>
      <c r="M402" s="4">
        <v>3</v>
      </c>
      <c r="N402" s="4" t="s">
        <v>3</v>
      </c>
      <c r="O402" s="4">
        <v>2</v>
      </c>
      <c r="P402" s="4"/>
      <c r="Q402" s="4"/>
      <c r="R402" s="4"/>
      <c r="S402" s="4"/>
      <c r="T402" s="4"/>
      <c r="U402" s="4"/>
      <c r="V402" s="4"/>
      <c r="W402" s="4">
        <v>127788.81</v>
      </c>
      <c r="X402" s="4">
        <v>1</v>
      </c>
      <c r="Y402" s="4">
        <v>127788.81</v>
      </c>
      <c r="Z402" s="4"/>
      <c r="AA402" s="4"/>
      <c r="AB402" s="4"/>
    </row>
    <row r="404" spans="1:245" x14ac:dyDescent="0.2">
      <c r="A404" s="1">
        <v>5</v>
      </c>
      <c r="B404" s="1">
        <v>1</v>
      </c>
      <c r="C404" s="1"/>
      <c r="D404" s="1">
        <f>ROW(A443)</f>
        <v>443</v>
      </c>
      <c r="E404" s="1"/>
      <c r="F404" s="1" t="s">
        <v>14</v>
      </c>
      <c r="G404" s="1" t="s">
        <v>196</v>
      </c>
      <c r="H404" s="1" t="s">
        <v>3</v>
      </c>
      <c r="I404" s="1">
        <v>0</v>
      </c>
      <c r="J404" s="1"/>
      <c r="K404" s="1">
        <v>-1</v>
      </c>
      <c r="L404" s="1"/>
      <c r="M404" s="1" t="s">
        <v>3</v>
      </c>
      <c r="N404" s="1"/>
      <c r="O404" s="1"/>
      <c r="P404" s="1"/>
      <c r="Q404" s="1"/>
      <c r="R404" s="1"/>
      <c r="S404" s="1">
        <v>0</v>
      </c>
      <c r="T404" s="1"/>
      <c r="U404" s="1" t="s">
        <v>3</v>
      </c>
      <c r="V404" s="1">
        <v>0</v>
      </c>
      <c r="W404" s="1"/>
      <c r="X404" s="1"/>
      <c r="Y404" s="1"/>
      <c r="Z404" s="1"/>
      <c r="AA404" s="1"/>
      <c r="AB404" s="1" t="s">
        <v>3</v>
      </c>
      <c r="AC404" s="1" t="s">
        <v>3</v>
      </c>
      <c r="AD404" s="1" t="s">
        <v>3</v>
      </c>
      <c r="AE404" s="1" t="s">
        <v>3</v>
      </c>
      <c r="AF404" s="1" t="s">
        <v>3</v>
      </c>
      <c r="AG404" s="1" t="s">
        <v>3</v>
      </c>
      <c r="AH404" s="1"/>
      <c r="AI404" s="1"/>
      <c r="AJ404" s="1"/>
      <c r="AK404" s="1"/>
      <c r="AL404" s="1"/>
      <c r="AM404" s="1"/>
      <c r="AN404" s="1"/>
      <c r="AO404" s="1"/>
      <c r="AP404" s="1" t="s">
        <v>3</v>
      </c>
      <c r="AQ404" s="1" t="s">
        <v>3</v>
      </c>
      <c r="AR404" s="1" t="s">
        <v>3</v>
      </c>
      <c r="AS404" s="1"/>
      <c r="AT404" s="1"/>
      <c r="AU404" s="1"/>
      <c r="AV404" s="1"/>
      <c r="AW404" s="1"/>
      <c r="AX404" s="1"/>
      <c r="AY404" s="1"/>
      <c r="AZ404" s="1" t="s">
        <v>3</v>
      </c>
      <c r="BA404" s="1"/>
      <c r="BB404" s="1" t="s">
        <v>3</v>
      </c>
      <c r="BC404" s="1" t="s">
        <v>3</v>
      </c>
      <c r="BD404" s="1" t="s">
        <v>3</v>
      </c>
      <c r="BE404" s="1" t="s">
        <v>3</v>
      </c>
      <c r="BF404" s="1" t="s">
        <v>3</v>
      </c>
      <c r="BG404" s="1" t="s">
        <v>3</v>
      </c>
      <c r="BH404" s="1" t="s">
        <v>3</v>
      </c>
      <c r="BI404" s="1" t="s">
        <v>3</v>
      </c>
      <c r="BJ404" s="1" t="s">
        <v>3</v>
      </c>
      <c r="BK404" s="1" t="s">
        <v>3</v>
      </c>
      <c r="BL404" s="1" t="s">
        <v>3</v>
      </c>
      <c r="BM404" s="1" t="s">
        <v>3</v>
      </c>
      <c r="BN404" s="1" t="s">
        <v>3</v>
      </c>
      <c r="BO404" s="1" t="s">
        <v>3</v>
      </c>
      <c r="BP404" s="1" t="s">
        <v>3</v>
      </c>
      <c r="BQ404" s="1"/>
      <c r="BR404" s="1"/>
      <c r="BS404" s="1"/>
      <c r="BT404" s="1"/>
      <c r="BU404" s="1"/>
      <c r="BV404" s="1"/>
      <c r="BW404" s="1"/>
      <c r="BX404" s="1">
        <v>0</v>
      </c>
      <c r="BY404" s="1"/>
      <c r="BZ404" s="1"/>
      <c r="CA404" s="1"/>
      <c r="CB404" s="1"/>
      <c r="CC404" s="1"/>
      <c r="CD404" s="1"/>
      <c r="CE404" s="1"/>
      <c r="CF404" s="1"/>
      <c r="CG404" s="1"/>
      <c r="CH404" s="1"/>
      <c r="CI404" s="1"/>
      <c r="CJ404" s="1">
        <v>0</v>
      </c>
    </row>
    <row r="406" spans="1:245" x14ac:dyDescent="0.2">
      <c r="A406" s="2">
        <v>52</v>
      </c>
      <c r="B406" s="2">
        <f t="shared" ref="B406:G406" si="344">B443</f>
        <v>1</v>
      </c>
      <c r="C406" s="2">
        <f t="shared" si="344"/>
        <v>5</v>
      </c>
      <c r="D406" s="2">
        <f t="shared" si="344"/>
        <v>404</v>
      </c>
      <c r="E406" s="2">
        <f t="shared" si="344"/>
        <v>0</v>
      </c>
      <c r="F406" s="2" t="str">
        <f t="shared" si="344"/>
        <v>Новый подраздел</v>
      </c>
      <c r="G406" s="2" t="str">
        <f t="shared" si="344"/>
        <v>Система электроснабжения</v>
      </c>
      <c r="H406" s="2"/>
      <c r="I406" s="2"/>
      <c r="J406" s="2"/>
      <c r="K406" s="2"/>
      <c r="L406" s="2"/>
      <c r="M406" s="2"/>
      <c r="N406" s="2"/>
      <c r="O406" s="2">
        <f t="shared" ref="O406:AT406" si="345">O443</f>
        <v>458719.29</v>
      </c>
      <c r="P406" s="2">
        <f t="shared" si="345"/>
        <v>4554.07</v>
      </c>
      <c r="Q406" s="2">
        <f t="shared" si="345"/>
        <v>3830.86</v>
      </c>
      <c r="R406" s="2">
        <f t="shared" si="345"/>
        <v>2429.0300000000002</v>
      </c>
      <c r="S406" s="2">
        <f t="shared" si="345"/>
        <v>450334.36</v>
      </c>
      <c r="T406" s="2">
        <f t="shared" si="345"/>
        <v>0</v>
      </c>
      <c r="U406" s="2">
        <f t="shared" si="345"/>
        <v>736.09200000000021</v>
      </c>
      <c r="V406" s="2">
        <f t="shared" si="345"/>
        <v>0</v>
      </c>
      <c r="W406" s="2">
        <f t="shared" si="345"/>
        <v>0</v>
      </c>
      <c r="X406" s="2">
        <f t="shared" si="345"/>
        <v>315234.07</v>
      </c>
      <c r="Y406" s="2">
        <f t="shared" si="345"/>
        <v>45033.440000000002</v>
      </c>
      <c r="Z406" s="2">
        <f t="shared" si="345"/>
        <v>0</v>
      </c>
      <c r="AA406" s="2">
        <f t="shared" si="345"/>
        <v>0</v>
      </c>
      <c r="AB406" s="2">
        <f t="shared" si="345"/>
        <v>458719.29</v>
      </c>
      <c r="AC406" s="2">
        <f t="shared" si="345"/>
        <v>4554.07</v>
      </c>
      <c r="AD406" s="2">
        <f t="shared" si="345"/>
        <v>3830.86</v>
      </c>
      <c r="AE406" s="2">
        <f t="shared" si="345"/>
        <v>2429.0300000000002</v>
      </c>
      <c r="AF406" s="2">
        <f t="shared" si="345"/>
        <v>450334.36</v>
      </c>
      <c r="AG406" s="2">
        <f t="shared" si="345"/>
        <v>0</v>
      </c>
      <c r="AH406" s="2">
        <f t="shared" si="345"/>
        <v>736.09200000000021</v>
      </c>
      <c r="AI406" s="2">
        <f t="shared" si="345"/>
        <v>0</v>
      </c>
      <c r="AJ406" s="2">
        <f t="shared" si="345"/>
        <v>0</v>
      </c>
      <c r="AK406" s="2">
        <f t="shared" si="345"/>
        <v>315234.07</v>
      </c>
      <c r="AL406" s="2">
        <f t="shared" si="345"/>
        <v>45033.440000000002</v>
      </c>
      <c r="AM406" s="2">
        <f t="shared" si="345"/>
        <v>0</v>
      </c>
      <c r="AN406" s="2">
        <f t="shared" si="345"/>
        <v>0</v>
      </c>
      <c r="AO406" s="2">
        <f t="shared" si="345"/>
        <v>0</v>
      </c>
      <c r="AP406" s="2">
        <f t="shared" si="345"/>
        <v>0</v>
      </c>
      <c r="AQ406" s="2">
        <f t="shared" si="345"/>
        <v>0</v>
      </c>
      <c r="AR406" s="2">
        <f t="shared" si="345"/>
        <v>821610.15</v>
      </c>
      <c r="AS406" s="2">
        <f t="shared" si="345"/>
        <v>0</v>
      </c>
      <c r="AT406" s="2">
        <f t="shared" si="345"/>
        <v>0</v>
      </c>
      <c r="AU406" s="2">
        <f t="shared" ref="AU406:BZ406" si="346">AU443</f>
        <v>821610.15</v>
      </c>
      <c r="AV406" s="2">
        <f t="shared" si="346"/>
        <v>4554.07</v>
      </c>
      <c r="AW406" s="2">
        <f t="shared" si="346"/>
        <v>4554.07</v>
      </c>
      <c r="AX406" s="2">
        <f t="shared" si="346"/>
        <v>0</v>
      </c>
      <c r="AY406" s="2">
        <f t="shared" si="346"/>
        <v>4554.07</v>
      </c>
      <c r="AZ406" s="2">
        <f t="shared" si="346"/>
        <v>0</v>
      </c>
      <c r="BA406" s="2">
        <f t="shared" si="346"/>
        <v>0</v>
      </c>
      <c r="BB406" s="2">
        <f t="shared" si="346"/>
        <v>0</v>
      </c>
      <c r="BC406" s="2">
        <f t="shared" si="346"/>
        <v>0</v>
      </c>
      <c r="BD406" s="2">
        <f t="shared" si="346"/>
        <v>0</v>
      </c>
      <c r="BE406" s="2">
        <f t="shared" si="346"/>
        <v>0</v>
      </c>
      <c r="BF406" s="2">
        <f t="shared" si="346"/>
        <v>0</v>
      </c>
      <c r="BG406" s="2">
        <f t="shared" si="346"/>
        <v>0</v>
      </c>
      <c r="BH406" s="2">
        <f t="shared" si="346"/>
        <v>0</v>
      </c>
      <c r="BI406" s="2">
        <f t="shared" si="346"/>
        <v>0</v>
      </c>
      <c r="BJ406" s="2">
        <f t="shared" si="346"/>
        <v>0</v>
      </c>
      <c r="BK406" s="2">
        <f t="shared" si="346"/>
        <v>0</v>
      </c>
      <c r="BL406" s="2">
        <f t="shared" si="346"/>
        <v>0</v>
      </c>
      <c r="BM406" s="2">
        <f t="shared" si="346"/>
        <v>0</v>
      </c>
      <c r="BN406" s="2">
        <f t="shared" si="346"/>
        <v>0</v>
      </c>
      <c r="BO406" s="2">
        <f t="shared" si="346"/>
        <v>0</v>
      </c>
      <c r="BP406" s="2">
        <f t="shared" si="346"/>
        <v>0</v>
      </c>
      <c r="BQ406" s="2">
        <f t="shared" si="346"/>
        <v>0</v>
      </c>
      <c r="BR406" s="2">
        <f t="shared" si="346"/>
        <v>0</v>
      </c>
      <c r="BS406" s="2">
        <f t="shared" si="346"/>
        <v>0</v>
      </c>
      <c r="BT406" s="2">
        <f t="shared" si="346"/>
        <v>0</v>
      </c>
      <c r="BU406" s="2">
        <f t="shared" si="346"/>
        <v>0</v>
      </c>
      <c r="BV406" s="2">
        <f t="shared" si="346"/>
        <v>0</v>
      </c>
      <c r="BW406" s="2">
        <f t="shared" si="346"/>
        <v>0</v>
      </c>
      <c r="BX406" s="2">
        <f t="shared" si="346"/>
        <v>0</v>
      </c>
      <c r="BY406" s="2">
        <f t="shared" si="346"/>
        <v>0</v>
      </c>
      <c r="BZ406" s="2">
        <f t="shared" si="346"/>
        <v>0</v>
      </c>
      <c r="CA406" s="2">
        <f t="shared" ref="CA406:DF406" si="347">CA443</f>
        <v>821610.15</v>
      </c>
      <c r="CB406" s="2">
        <f t="shared" si="347"/>
        <v>0</v>
      </c>
      <c r="CC406" s="2">
        <f t="shared" si="347"/>
        <v>0</v>
      </c>
      <c r="CD406" s="2">
        <f t="shared" si="347"/>
        <v>821610.15</v>
      </c>
      <c r="CE406" s="2">
        <f t="shared" si="347"/>
        <v>4554.07</v>
      </c>
      <c r="CF406" s="2">
        <f t="shared" si="347"/>
        <v>4554.07</v>
      </c>
      <c r="CG406" s="2">
        <f t="shared" si="347"/>
        <v>0</v>
      </c>
      <c r="CH406" s="2">
        <f t="shared" si="347"/>
        <v>4554.07</v>
      </c>
      <c r="CI406" s="2">
        <f t="shared" si="347"/>
        <v>0</v>
      </c>
      <c r="CJ406" s="2">
        <f t="shared" si="347"/>
        <v>0</v>
      </c>
      <c r="CK406" s="2">
        <f t="shared" si="347"/>
        <v>0</v>
      </c>
      <c r="CL406" s="2">
        <f t="shared" si="347"/>
        <v>0</v>
      </c>
      <c r="CM406" s="2">
        <f t="shared" si="347"/>
        <v>0</v>
      </c>
      <c r="CN406" s="2">
        <f t="shared" si="347"/>
        <v>0</v>
      </c>
      <c r="CO406" s="2">
        <f t="shared" si="347"/>
        <v>0</v>
      </c>
      <c r="CP406" s="2">
        <f t="shared" si="347"/>
        <v>0</v>
      </c>
      <c r="CQ406" s="2">
        <f t="shared" si="347"/>
        <v>0</v>
      </c>
      <c r="CR406" s="2">
        <f t="shared" si="347"/>
        <v>0</v>
      </c>
      <c r="CS406" s="2">
        <f t="shared" si="347"/>
        <v>0</v>
      </c>
      <c r="CT406" s="2">
        <f t="shared" si="347"/>
        <v>0</v>
      </c>
      <c r="CU406" s="2">
        <f t="shared" si="347"/>
        <v>0</v>
      </c>
      <c r="CV406" s="2">
        <f t="shared" si="347"/>
        <v>0</v>
      </c>
      <c r="CW406" s="2">
        <f t="shared" si="347"/>
        <v>0</v>
      </c>
      <c r="CX406" s="2">
        <f t="shared" si="347"/>
        <v>0</v>
      </c>
      <c r="CY406" s="2">
        <f t="shared" si="347"/>
        <v>0</v>
      </c>
      <c r="CZ406" s="2">
        <f t="shared" si="347"/>
        <v>0</v>
      </c>
      <c r="DA406" s="2">
        <f t="shared" si="347"/>
        <v>0</v>
      </c>
      <c r="DB406" s="2">
        <f t="shared" si="347"/>
        <v>0</v>
      </c>
      <c r="DC406" s="2">
        <f t="shared" si="347"/>
        <v>0</v>
      </c>
      <c r="DD406" s="2">
        <f t="shared" si="347"/>
        <v>0</v>
      </c>
      <c r="DE406" s="2">
        <f t="shared" si="347"/>
        <v>0</v>
      </c>
      <c r="DF406" s="2">
        <f t="shared" si="347"/>
        <v>0</v>
      </c>
      <c r="DG406" s="3">
        <f t="shared" ref="DG406:EL406" si="348">DG443</f>
        <v>0</v>
      </c>
      <c r="DH406" s="3">
        <f t="shared" si="348"/>
        <v>0</v>
      </c>
      <c r="DI406" s="3">
        <f t="shared" si="348"/>
        <v>0</v>
      </c>
      <c r="DJ406" s="3">
        <f t="shared" si="348"/>
        <v>0</v>
      </c>
      <c r="DK406" s="3">
        <f t="shared" si="348"/>
        <v>0</v>
      </c>
      <c r="DL406" s="3">
        <f t="shared" si="348"/>
        <v>0</v>
      </c>
      <c r="DM406" s="3">
        <f t="shared" si="348"/>
        <v>0</v>
      </c>
      <c r="DN406" s="3">
        <f t="shared" si="348"/>
        <v>0</v>
      </c>
      <c r="DO406" s="3">
        <f t="shared" si="348"/>
        <v>0</v>
      </c>
      <c r="DP406" s="3">
        <f t="shared" si="348"/>
        <v>0</v>
      </c>
      <c r="DQ406" s="3">
        <f t="shared" si="348"/>
        <v>0</v>
      </c>
      <c r="DR406" s="3">
        <f t="shared" si="348"/>
        <v>0</v>
      </c>
      <c r="DS406" s="3">
        <f t="shared" si="348"/>
        <v>0</v>
      </c>
      <c r="DT406" s="3">
        <f t="shared" si="348"/>
        <v>0</v>
      </c>
      <c r="DU406" s="3">
        <f t="shared" si="348"/>
        <v>0</v>
      </c>
      <c r="DV406" s="3">
        <f t="shared" si="348"/>
        <v>0</v>
      </c>
      <c r="DW406" s="3">
        <f t="shared" si="348"/>
        <v>0</v>
      </c>
      <c r="DX406" s="3">
        <f t="shared" si="348"/>
        <v>0</v>
      </c>
      <c r="DY406" s="3">
        <f t="shared" si="348"/>
        <v>0</v>
      </c>
      <c r="DZ406" s="3">
        <f t="shared" si="348"/>
        <v>0</v>
      </c>
      <c r="EA406" s="3">
        <f t="shared" si="348"/>
        <v>0</v>
      </c>
      <c r="EB406" s="3">
        <f t="shared" si="348"/>
        <v>0</v>
      </c>
      <c r="EC406" s="3">
        <f t="shared" si="348"/>
        <v>0</v>
      </c>
      <c r="ED406" s="3">
        <f t="shared" si="348"/>
        <v>0</v>
      </c>
      <c r="EE406" s="3">
        <f t="shared" si="348"/>
        <v>0</v>
      </c>
      <c r="EF406" s="3">
        <f t="shared" si="348"/>
        <v>0</v>
      </c>
      <c r="EG406" s="3">
        <f t="shared" si="348"/>
        <v>0</v>
      </c>
      <c r="EH406" s="3">
        <f t="shared" si="348"/>
        <v>0</v>
      </c>
      <c r="EI406" s="3">
        <f t="shared" si="348"/>
        <v>0</v>
      </c>
      <c r="EJ406" s="3">
        <f t="shared" si="348"/>
        <v>0</v>
      </c>
      <c r="EK406" s="3">
        <f t="shared" si="348"/>
        <v>0</v>
      </c>
      <c r="EL406" s="3">
        <f t="shared" si="348"/>
        <v>0</v>
      </c>
      <c r="EM406" s="3">
        <f t="shared" ref="EM406:FR406" si="349">EM443</f>
        <v>0</v>
      </c>
      <c r="EN406" s="3">
        <f t="shared" si="349"/>
        <v>0</v>
      </c>
      <c r="EO406" s="3">
        <f t="shared" si="349"/>
        <v>0</v>
      </c>
      <c r="EP406" s="3">
        <f t="shared" si="349"/>
        <v>0</v>
      </c>
      <c r="EQ406" s="3">
        <f t="shared" si="349"/>
        <v>0</v>
      </c>
      <c r="ER406" s="3">
        <f t="shared" si="349"/>
        <v>0</v>
      </c>
      <c r="ES406" s="3">
        <f t="shared" si="349"/>
        <v>0</v>
      </c>
      <c r="ET406" s="3">
        <f t="shared" si="349"/>
        <v>0</v>
      </c>
      <c r="EU406" s="3">
        <f t="shared" si="349"/>
        <v>0</v>
      </c>
      <c r="EV406" s="3">
        <f t="shared" si="349"/>
        <v>0</v>
      </c>
      <c r="EW406" s="3">
        <f t="shared" si="349"/>
        <v>0</v>
      </c>
      <c r="EX406" s="3">
        <f t="shared" si="349"/>
        <v>0</v>
      </c>
      <c r="EY406" s="3">
        <f t="shared" si="349"/>
        <v>0</v>
      </c>
      <c r="EZ406" s="3">
        <f t="shared" si="349"/>
        <v>0</v>
      </c>
      <c r="FA406" s="3">
        <f t="shared" si="349"/>
        <v>0</v>
      </c>
      <c r="FB406" s="3">
        <f t="shared" si="349"/>
        <v>0</v>
      </c>
      <c r="FC406" s="3">
        <f t="shared" si="349"/>
        <v>0</v>
      </c>
      <c r="FD406" s="3">
        <f t="shared" si="349"/>
        <v>0</v>
      </c>
      <c r="FE406" s="3">
        <f t="shared" si="349"/>
        <v>0</v>
      </c>
      <c r="FF406" s="3">
        <f t="shared" si="349"/>
        <v>0</v>
      </c>
      <c r="FG406" s="3">
        <f t="shared" si="349"/>
        <v>0</v>
      </c>
      <c r="FH406" s="3">
        <f t="shared" si="349"/>
        <v>0</v>
      </c>
      <c r="FI406" s="3">
        <f t="shared" si="349"/>
        <v>0</v>
      </c>
      <c r="FJ406" s="3">
        <f t="shared" si="349"/>
        <v>0</v>
      </c>
      <c r="FK406" s="3">
        <f t="shared" si="349"/>
        <v>0</v>
      </c>
      <c r="FL406" s="3">
        <f t="shared" si="349"/>
        <v>0</v>
      </c>
      <c r="FM406" s="3">
        <f t="shared" si="349"/>
        <v>0</v>
      </c>
      <c r="FN406" s="3">
        <f t="shared" si="349"/>
        <v>0</v>
      </c>
      <c r="FO406" s="3">
        <f t="shared" si="349"/>
        <v>0</v>
      </c>
      <c r="FP406" s="3">
        <f t="shared" si="349"/>
        <v>0</v>
      </c>
      <c r="FQ406" s="3">
        <f t="shared" si="349"/>
        <v>0</v>
      </c>
      <c r="FR406" s="3">
        <f t="shared" si="349"/>
        <v>0</v>
      </c>
      <c r="FS406" s="3">
        <f t="shared" ref="FS406:GX406" si="350">FS443</f>
        <v>0</v>
      </c>
      <c r="FT406" s="3">
        <f t="shared" si="350"/>
        <v>0</v>
      </c>
      <c r="FU406" s="3">
        <f t="shared" si="350"/>
        <v>0</v>
      </c>
      <c r="FV406" s="3">
        <f t="shared" si="350"/>
        <v>0</v>
      </c>
      <c r="FW406" s="3">
        <f t="shared" si="350"/>
        <v>0</v>
      </c>
      <c r="FX406" s="3">
        <f t="shared" si="350"/>
        <v>0</v>
      </c>
      <c r="FY406" s="3">
        <f t="shared" si="350"/>
        <v>0</v>
      </c>
      <c r="FZ406" s="3">
        <f t="shared" si="350"/>
        <v>0</v>
      </c>
      <c r="GA406" s="3">
        <f t="shared" si="350"/>
        <v>0</v>
      </c>
      <c r="GB406" s="3">
        <f t="shared" si="350"/>
        <v>0</v>
      </c>
      <c r="GC406" s="3">
        <f t="shared" si="350"/>
        <v>0</v>
      </c>
      <c r="GD406" s="3">
        <f t="shared" si="350"/>
        <v>0</v>
      </c>
      <c r="GE406" s="3">
        <f t="shared" si="350"/>
        <v>0</v>
      </c>
      <c r="GF406" s="3">
        <f t="shared" si="350"/>
        <v>0</v>
      </c>
      <c r="GG406" s="3">
        <f t="shared" si="350"/>
        <v>0</v>
      </c>
      <c r="GH406" s="3">
        <f t="shared" si="350"/>
        <v>0</v>
      </c>
      <c r="GI406" s="3">
        <f t="shared" si="350"/>
        <v>0</v>
      </c>
      <c r="GJ406" s="3">
        <f t="shared" si="350"/>
        <v>0</v>
      </c>
      <c r="GK406" s="3">
        <f t="shared" si="350"/>
        <v>0</v>
      </c>
      <c r="GL406" s="3">
        <f t="shared" si="350"/>
        <v>0</v>
      </c>
      <c r="GM406" s="3">
        <f t="shared" si="350"/>
        <v>0</v>
      </c>
      <c r="GN406" s="3">
        <f t="shared" si="350"/>
        <v>0</v>
      </c>
      <c r="GO406" s="3">
        <f t="shared" si="350"/>
        <v>0</v>
      </c>
      <c r="GP406" s="3">
        <f t="shared" si="350"/>
        <v>0</v>
      </c>
      <c r="GQ406" s="3">
        <f t="shared" si="350"/>
        <v>0</v>
      </c>
      <c r="GR406" s="3">
        <f t="shared" si="350"/>
        <v>0</v>
      </c>
      <c r="GS406" s="3">
        <f t="shared" si="350"/>
        <v>0</v>
      </c>
      <c r="GT406" s="3">
        <f t="shared" si="350"/>
        <v>0</v>
      </c>
      <c r="GU406" s="3">
        <f t="shared" si="350"/>
        <v>0</v>
      </c>
      <c r="GV406" s="3">
        <f t="shared" si="350"/>
        <v>0</v>
      </c>
      <c r="GW406" s="3">
        <f t="shared" si="350"/>
        <v>0</v>
      </c>
      <c r="GX406" s="3">
        <f t="shared" si="350"/>
        <v>0</v>
      </c>
    </row>
    <row r="408" spans="1:245" x14ac:dyDescent="0.2">
      <c r="A408">
        <v>19</v>
      </c>
      <c r="B408">
        <v>1</v>
      </c>
      <c r="F408" t="s">
        <v>3</v>
      </c>
      <c r="G408" t="s">
        <v>319</v>
      </c>
      <c r="H408" t="s">
        <v>3</v>
      </c>
      <c r="AA408">
        <v>1</v>
      </c>
      <c r="IK408">
        <v>0</v>
      </c>
    </row>
    <row r="409" spans="1:245" x14ac:dyDescent="0.2">
      <c r="A409">
        <v>17</v>
      </c>
      <c r="B409">
        <v>1</v>
      </c>
      <c r="D409">
        <f>ROW(EtalonRes!A208)</f>
        <v>208</v>
      </c>
      <c r="E409" t="s">
        <v>320</v>
      </c>
      <c r="F409" t="s">
        <v>199</v>
      </c>
      <c r="G409" t="s">
        <v>321</v>
      </c>
      <c r="H409" t="s">
        <v>36</v>
      </c>
      <c r="I409">
        <f>ROUND(15,9)</f>
        <v>15</v>
      </c>
      <c r="J409">
        <v>0</v>
      </c>
      <c r="K409">
        <f>ROUND(15,9)</f>
        <v>15</v>
      </c>
      <c r="O409">
        <f t="shared" ref="O409:O418" si="351">ROUND(CP409,2)</f>
        <v>225379.35</v>
      </c>
      <c r="P409">
        <f t="shared" ref="P409:P418" si="352">ROUND(CQ409*I409,2)</f>
        <v>3082.95</v>
      </c>
      <c r="Q409">
        <f t="shared" ref="Q409:Q418" si="353">ROUND(CR409*I409,2)</f>
        <v>0</v>
      </c>
      <c r="R409">
        <f t="shared" ref="R409:R418" si="354">ROUND(CS409*I409,2)</f>
        <v>0</v>
      </c>
      <c r="S409">
        <f t="shared" ref="S409:S418" si="355">ROUND(CT409*I409,2)</f>
        <v>222296.4</v>
      </c>
      <c r="T409">
        <f t="shared" ref="T409:T418" si="356">ROUND(CU409*I409,2)</f>
        <v>0</v>
      </c>
      <c r="U409">
        <f t="shared" ref="U409:U418" si="357">CV409*I409</f>
        <v>360</v>
      </c>
      <c r="V409">
        <f t="shared" ref="V409:V418" si="358">CW409*I409</f>
        <v>0</v>
      </c>
      <c r="W409">
        <f t="shared" ref="W409:W418" si="359">ROUND(CX409*I409,2)</f>
        <v>0</v>
      </c>
      <c r="X409">
        <f t="shared" ref="X409:X418" si="360">ROUND(CY409,2)</f>
        <v>155607.48000000001</v>
      </c>
      <c r="Y409">
        <f t="shared" ref="Y409:Y418" si="361">ROUND(CZ409,2)</f>
        <v>22229.64</v>
      </c>
      <c r="AA409">
        <v>1471718271</v>
      </c>
      <c r="AB409">
        <f t="shared" ref="AB409:AB418" si="362">ROUND((AC409+AD409+AF409),6)</f>
        <v>15025.29</v>
      </c>
      <c r="AC409">
        <f>ROUND((ES409),6)</f>
        <v>205.53</v>
      </c>
      <c r="AD409">
        <f>ROUND((((ET409)-(EU409))+AE409),6)</f>
        <v>0</v>
      </c>
      <c r="AE409">
        <f>ROUND((EU409),6)</f>
        <v>0</v>
      </c>
      <c r="AF409">
        <f>ROUND((EV409),6)</f>
        <v>14819.76</v>
      </c>
      <c r="AG409">
        <f t="shared" ref="AG409:AG418" si="363">ROUND((AP409),6)</f>
        <v>0</v>
      </c>
      <c r="AH409">
        <f>(EW409)</f>
        <v>24</v>
      </c>
      <c r="AI409">
        <f>(EX409)</f>
        <v>0</v>
      </c>
      <c r="AJ409">
        <f t="shared" ref="AJ409:AJ418" si="364">(AS409)</f>
        <v>0</v>
      </c>
      <c r="AK409">
        <v>15025.29</v>
      </c>
      <c r="AL409">
        <v>205.53</v>
      </c>
      <c r="AM409">
        <v>0</v>
      </c>
      <c r="AN409">
        <v>0</v>
      </c>
      <c r="AO409">
        <v>14819.76</v>
      </c>
      <c r="AP409">
        <v>0</v>
      </c>
      <c r="AQ409">
        <v>24</v>
      </c>
      <c r="AR409">
        <v>0</v>
      </c>
      <c r="AS409">
        <v>0</v>
      </c>
      <c r="AT409">
        <v>70</v>
      </c>
      <c r="AU409">
        <v>10</v>
      </c>
      <c r="AV409">
        <v>1</v>
      </c>
      <c r="AW409">
        <v>1</v>
      </c>
      <c r="AZ409">
        <v>1</v>
      </c>
      <c r="BA409">
        <v>1</v>
      </c>
      <c r="BB409">
        <v>1</v>
      </c>
      <c r="BC409">
        <v>1</v>
      </c>
      <c r="BD409" t="s">
        <v>3</v>
      </c>
      <c r="BE409" t="s">
        <v>3</v>
      </c>
      <c r="BF409" t="s">
        <v>3</v>
      </c>
      <c r="BG409" t="s">
        <v>3</v>
      </c>
      <c r="BH409">
        <v>0</v>
      </c>
      <c r="BI409">
        <v>4</v>
      </c>
      <c r="BJ409" t="s">
        <v>201</v>
      </c>
      <c r="BM409">
        <v>0</v>
      </c>
      <c r="BN409">
        <v>0</v>
      </c>
      <c r="BO409" t="s">
        <v>3</v>
      </c>
      <c r="BP409">
        <v>0</v>
      </c>
      <c r="BQ409">
        <v>1</v>
      </c>
      <c r="BR409">
        <v>0</v>
      </c>
      <c r="BS409">
        <v>1</v>
      </c>
      <c r="BT409">
        <v>1</v>
      </c>
      <c r="BU409">
        <v>1</v>
      </c>
      <c r="BV409">
        <v>1</v>
      </c>
      <c r="BW409">
        <v>1</v>
      </c>
      <c r="BX409">
        <v>1</v>
      </c>
      <c r="BY409" t="s">
        <v>3</v>
      </c>
      <c r="BZ409">
        <v>70</v>
      </c>
      <c r="CA409">
        <v>10</v>
      </c>
      <c r="CB409" t="s">
        <v>3</v>
      </c>
      <c r="CE409">
        <v>0</v>
      </c>
      <c r="CF409">
        <v>0</v>
      </c>
      <c r="CG409">
        <v>0</v>
      </c>
      <c r="CM409">
        <v>0</v>
      </c>
      <c r="CN409" t="s">
        <v>3</v>
      </c>
      <c r="CO409">
        <v>0</v>
      </c>
      <c r="CP409">
        <f t="shared" ref="CP409:CP418" si="365">(P409+Q409+S409)</f>
        <v>225379.35</v>
      </c>
      <c r="CQ409">
        <f t="shared" ref="CQ409:CQ418" si="366">(AC409*BC409*AW409)</f>
        <v>205.53</v>
      </c>
      <c r="CR409">
        <f>((((ET409)*BB409-(EU409)*BS409)+AE409*BS409)*AV409)</f>
        <v>0</v>
      </c>
      <c r="CS409">
        <f t="shared" ref="CS409:CS418" si="367">(AE409*BS409*AV409)</f>
        <v>0</v>
      </c>
      <c r="CT409">
        <f t="shared" ref="CT409:CT418" si="368">(AF409*BA409*AV409)</f>
        <v>14819.76</v>
      </c>
      <c r="CU409">
        <f t="shared" ref="CU409:CU418" si="369">AG409</f>
        <v>0</v>
      </c>
      <c r="CV409">
        <f t="shared" ref="CV409:CV418" si="370">(AH409*AV409)</f>
        <v>24</v>
      </c>
      <c r="CW409">
        <f t="shared" ref="CW409:CW418" si="371">AI409</f>
        <v>0</v>
      </c>
      <c r="CX409">
        <f t="shared" ref="CX409:CX418" si="372">AJ409</f>
        <v>0</v>
      </c>
      <c r="CY409">
        <f t="shared" ref="CY409:CY418" si="373">((S409*BZ409)/100)</f>
        <v>155607.48000000001</v>
      </c>
      <c r="CZ409">
        <f t="shared" ref="CZ409:CZ418" si="374">((S409*CA409)/100)</f>
        <v>22229.64</v>
      </c>
      <c r="DC409" t="s">
        <v>3</v>
      </c>
      <c r="DD409" t="s">
        <v>3</v>
      </c>
      <c r="DE409" t="s">
        <v>3</v>
      </c>
      <c r="DF409" t="s">
        <v>3</v>
      </c>
      <c r="DG409" t="s">
        <v>3</v>
      </c>
      <c r="DH409" t="s">
        <v>3</v>
      </c>
      <c r="DI409" t="s">
        <v>3</v>
      </c>
      <c r="DJ409" t="s">
        <v>3</v>
      </c>
      <c r="DK409" t="s">
        <v>3</v>
      </c>
      <c r="DL409" t="s">
        <v>3</v>
      </c>
      <c r="DM409" t="s">
        <v>3</v>
      </c>
      <c r="DN409">
        <v>0</v>
      </c>
      <c r="DO409">
        <v>0</v>
      </c>
      <c r="DP409">
        <v>1</v>
      </c>
      <c r="DQ409">
        <v>1</v>
      </c>
      <c r="DU409">
        <v>16987630</v>
      </c>
      <c r="DV409" t="s">
        <v>36</v>
      </c>
      <c r="DW409" t="s">
        <v>36</v>
      </c>
      <c r="DX409">
        <v>1</v>
      </c>
      <c r="DZ409" t="s">
        <v>3</v>
      </c>
      <c r="EA409" t="s">
        <v>3</v>
      </c>
      <c r="EB409" t="s">
        <v>3</v>
      </c>
      <c r="EC409" t="s">
        <v>3</v>
      </c>
      <c r="EE409">
        <v>1441815344</v>
      </c>
      <c r="EF409">
        <v>1</v>
      </c>
      <c r="EG409" t="s">
        <v>21</v>
      </c>
      <c r="EH409">
        <v>0</v>
      </c>
      <c r="EI409" t="s">
        <v>3</v>
      </c>
      <c r="EJ409">
        <v>4</v>
      </c>
      <c r="EK409">
        <v>0</v>
      </c>
      <c r="EL409" t="s">
        <v>22</v>
      </c>
      <c r="EM409" t="s">
        <v>23</v>
      </c>
      <c r="EO409" t="s">
        <v>3</v>
      </c>
      <c r="EQ409">
        <v>0</v>
      </c>
      <c r="ER409">
        <v>15025.29</v>
      </c>
      <c r="ES409">
        <v>205.53</v>
      </c>
      <c r="ET409">
        <v>0</v>
      </c>
      <c r="EU409">
        <v>0</v>
      </c>
      <c r="EV409">
        <v>14819.76</v>
      </c>
      <c r="EW409">
        <v>24</v>
      </c>
      <c r="EX409">
        <v>0</v>
      </c>
      <c r="EY409">
        <v>0</v>
      </c>
      <c r="FQ409">
        <v>0</v>
      </c>
      <c r="FR409">
        <f t="shared" ref="FR409:FR418" si="375">ROUND(IF(BI409=3,GM409,0),2)</f>
        <v>0</v>
      </c>
      <c r="FS409">
        <v>0</v>
      </c>
      <c r="FX409">
        <v>70</v>
      </c>
      <c r="FY409">
        <v>10</v>
      </c>
      <c r="GA409" t="s">
        <v>3</v>
      </c>
      <c r="GD409">
        <v>0</v>
      </c>
      <c r="GF409">
        <v>911913616</v>
      </c>
      <c r="GG409">
        <v>2</v>
      </c>
      <c r="GH409">
        <v>1</v>
      </c>
      <c r="GI409">
        <v>-2</v>
      </c>
      <c r="GJ409">
        <v>0</v>
      </c>
      <c r="GK409">
        <f>ROUND(R409*(R12)/100,2)</f>
        <v>0</v>
      </c>
      <c r="GL409">
        <f t="shared" ref="GL409:GL418" si="376">ROUND(IF(AND(BH409=3,BI409=3,FS409&lt;&gt;0),P409,0),2)</f>
        <v>0</v>
      </c>
      <c r="GM409">
        <f t="shared" ref="GM409:GM418" si="377">ROUND(O409+X409+Y409+GK409,2)+GX409</f>
        <v>403216.47</v>
      </c>
      <c r="GN409">
        <f t="shared" ref="GN409:GN418" si="378">IF(OR(BI409=0,BI409=1),GM409-GX409,0)</f>
        <v>0</v>
      </c>
      <c r="GO409">
        <f t="shared" ref="GO409:GO418" si="379">IF(BI409=2,GM409-GX409,0)</f>
        <v>0</v>
      </c>
      <c r="GP409">
        <f t="shared" ref="GP409:GP418" si="380">IF(BI409=4,GM409-GX409,0)</f>
        <v>403216.47</v>
      </c>
      <c r="GR409">
        <v>0</v>
      </c>
      <c r="GS409">
        <v>3</v>
      </c>
      <c r="GT409">
        <v>0</v>
      </c>
      <c r="GU409" t="s">
        <v>3</v>
      </c>
      <c r="GV409">
        <f t="shared" ref="GV409:GV418" si="381">ROUND((GT409),6)</f>
        <v>0</v>
      </c>
      <c r="GW409">
        <v>1</v>
      </c>
      <c r="GX409">
        <f t="shared" ref="GX409:GX418" si="382">ROUND(HC409*I409,2)</f>
        <v>0</v>
      </c>
      <c r="HA409">
        <v>0</v>
      </c>
      <c r="HB409">
        <v>0</v>
      </c>
      <c r="HC409">
        <f t="shared" ref="HC409:HC418" si="383">GV409*GW409</f>
        <v>0</v>
      </c>
      <c r="HE409" t="s">
        <v>3</v>
      </c>
      <c r="HF409" t="s">
        <v>3</v>
      </c>
      <c r="HM409" t="s">
        <v>3</v>
      </c>
      <c r="HN409" t="s">
        <v>3</v>
      </c>
      <c r="HO409" t="s">
        <v>3</v>
      </c>
      <c r="HP409" t="s">
        <v>3</v>
      </c>
      <c r="HQ409" t="s">
        <v>3</v>
      </c>
      <c r="IK409">
        <v>0</v>
      </c>
    </row>
    <row r="410" spans="1:245" x14ac:dyDescent="0.2">
      <c r="A410">
        <v>17</v>
      </c>
      <c r="B410">
        <v>1</v>
      </c>
      <c r="D410">
        <f>ROW(EtalonRes!A210)</f>
        <v>210</v>
      </c>
      <c r="E410" t="s">
        <v>3</v>
      </c>
      <c r="F410" t="s">
        <v>202</v>
      </c>
      <c r="G410" t="s">
        <v>322</v>
      </c>
      <c r="H410" t="s">
        <v>36</v>
      </c>
      <c r="I410">
        <v>15</v>
      </c>
      <c r="J410">
        <v>0</v>
      </c>
      <c r="K410">
        <v>15</v>
      </c>
      <c r="O410">
        <f t="shared" si="351"/>
        <v>22262.85</v>
      </c>
      <c r="P410">
        <f t="shared" si="352"/>
        <v>33.299999999999997</v>
      </c>
      <c r="Q410">
        <f t="shared" si="353"/>
        <v>0</v>
      </c>
      <c r="R410">
        <f t="shared" si="354"/>
        <v>0</v>
      </c>
      <c r="S410">
        <f t="shared" si="355"/>
        <v>22229.55</v>
      </c>
      <c r="T410">
        <f t="shared" si="356"/>
        <v>0</v>
      </c>
      <c r="U410">
        <f t="shared" si="357"/>
        <v>36.000000000000007</v>
      </c>
      <c r="V410">
        <f t="shared" si="358"/>
        <v>0</v>
      </c>
      <c r="W410">
        <f t="shared" si="359"/>
        <v>0</v>
      </c>
      <c r="X410">
        <f t="shared" si="360"/>
        <v>15560.69</v>
      </c>
      <c r="Y410">
        <f t="shared" si="361"/>
        <v>2222.96</v>
      </c>
      <c r="AA410">
        <v>-1</v>
      </c>
      <c r="AB410">
        <f t="shared" si="362"/>
        <v>1484.19</v>
      </c>
      <c r="AC410">
        <f>ROUND(((ES410*3)),6)</f>
        <v>2.2200000000000002</v>
      </c>
      <c r="AD410">
        <f>ROUND(((((ET410*3))-((EU410*3)))+AE410),6)</f>
        <v>0</v>
      </c>
      <c r="AE410">
        <f>ROUND(((EU410*3)),6)</f>
        <v>0</v>
      </c>
      <c r="AF410">
        <f>ROUND(((EV410*3)),6)</f>
        <v>1481.97</v>
      </c>
      <c r="AG410">
        <f t="shared" si="363"/>
        <v>0</v>
      </c>
      <c r="AH410">
        <f>((EW410*3))</f>
        <v>2.4000000000000004</v>
      </c>
      <c r="AI410">
        <f>((EX410*3))</f>
        <v>0</v>
      </c>
      <c r="AJ410">
        <f t="shared" si="364"/>
        <v>0</v>
      </c>
      <c r="AK410">
        <v>494.73</v>
      </c>
      <c r="AL410">
        <v>0.74</v>
      </c>
      <c r="AM410">
        <v>0</v>
      </c>
      <c r="AN410">
        <v>0</v>
      </c>
      <c r="AO410">
        <v>493.99</v>
      </c>
      <c r="AP410">
        <v>0</v>
      </c>
      <c r="AQ410">
        <v>0.8</v>
      </c>
      <c r="AR410">
        <v>0</v>
      </c>
      <c r="AS410">
        <v>0</v>
      </c>
      <c r="AT410">
        <v>70</v>
      </c>
      <c r="AU410">
        <v>10</v>
      </c>
      <c r="AV410">
        <v>1</v>
      </c>
      <c r="AW410">
        <v>1</v>
      </c>
      <c r="AZ410">
        <v>1</v>
      </c>
      <c r="BA410">
        <v>1</v>
      </c>
      <c r="BB410">
        <v>1</v>
      </c>
      <c r="BC410">
        <v>1</v>
      </c>
      <c r="BD410" t="s">
        <v>3</v>
      </c>
      <c r="BE410" t="s">
        <v>3</v>
      </c>
      <c r="BF410" t="s">
        <v>3</v>
      </c>
      <c r="BG410" t="s">
        <v>3</v>
      </c>
      <c r="BH410">
        <v>0</v>
      </c>
      <c r="BI410">
        <v>4</v>
      </c>
      <c r="BJ410" t="s">
        <v>204</v>
      </c>
      <c r="BM410">
        <v>0</v>
      </c>
      <c r="BN410">
        <v>0</v>
      </c>
      <c r="BO410" t="s">
        <v>3</v>
      </c>
      <c r="BP410">
        <v>0</v>
      </c>
      <c r="BQ410">
        <v>1</v>
      </c>
      <c r="BR410">
        <v>0</v>
      </c>
      <c r="BS410">
        <v>1</v>
      </c>
      <c r="BT410">
        <v>1</v>
      </c>
      <c r="BU410">
        <v>1</v>
      </c>
      <c r="BV410">
        <v>1</v>
      </c>
      <c r="BW410">
        <v>1</v>
      </c>
      <c r="BX410">
        <v>1</v>
      </c>
      <c r="BY410" t="s">
        <v>3</v>
      </c>
      <c r="BZ410">
        <v>70</v>
      </c>
      <c r="CA410">
        <v>10</v>
      </c>
      <c r="CB410" t="s">
        <v>3</v>
      </c>
      <c r="CE410">
        <v>0</v>
      </c>
      <c r="CF410">
        <v>0</v>
      </c>
      <c r="CG410">
        <v>0</v>
      </c>
      <c r="CM410">
        <v>0</v>
      </c>
      <c r="CN410" t="s">
        <v>3</v>
      </c>
      <c r="CO410">
        <v>0</v>
      </c>
      <c r="CP410">
        <f t="shared" si="365"/>
        <v>22262.85</v>
      </c>
      <c r="CQ410">
        <f t="shared" si="366"/>
        <v>2.2200000000000002</v>
      </c>
      <c r="CR410">
        <f>(((((ET410*3))*BB410-((EU410*3))*BS410)+AE410*BS410)*AV410)</f>
        <v>0</v>
      </c>
      <c r="CS410">
        <f t="shared" si="367"/>
        <v>0</v>
      </c>
      <c r="CT410">
        <f t="shared" si="368"/>
        <v>1481.97</v>
      </c>
      <c r="CU410">
        <f t="shared" si="369"/>
        <v>0</v>
      </c>
      <c r="CV410">
        <f t="shared" si="370"/>
        <v>2.4000000000000004</v>
      </c>
      <c r="CW410">
        <f t="shared" si="371"/>
        <v>0</v>
      </c>
      <c r="CX410">
        <f t="shared" si="372"/>
        <v>0</v>
      </c>
      <c r="CY410">
        <f t="shared" si="373"/>
        <v>15560.684999999999</v>
      </c>
      <c r="CZ410">
        <f t="shared" si="374"/>
        <v>2222.9549999999999</v>
      </c>
      <c r="DC410" t="s">
        <v>3</v>
      </c>
      <c r="DD410" t="s">
        <v>163</v>
      </c>
      <c r="DE410" t="s">
        <v>163</v>
      </c>
      <c r="DF410" t="s">
        <v>163</v>
      </c>
      <c r="DG410" t="s">
        <v>163</v>
      </c>
      <c r="DH410" t="s">
        <v>3</v>
      </c>
      <c r="DI410" t="s">
        <v>163</v>
      </c>
      <c r="DJ410" t="s">
        <v>163</v>
      </c>
      <c r="DK410" t="s">
        <v>3</v>
      </c>
      <c r="DL410" t="s">
        <v>3</v>
      </c>
      <c r="DM410" t="s">
        <v>3</v>
      </c>
      <c r="DN410">
        <v>0</v>
      </c>
      <c r="DO410">
        <v>0</v>
      </c>
      <c r="DP410">
        <v>1</v>
      </c>
      <c r="DQ410">
        <v>1</v>
      </c>
      <c r="DU410">
        <v>16987630</v>
      </c>
      <c r="DV410" t="s">
        <v>36</v>
      </c>
      <c r="DW410" t="s">
        <v>36</v>
      </c>
      <c r="DX410">
        <v>1</v>
      </c>
      <c r="DZ410" t="s">
        <v>3</v>
      </c>
      <c r="EA410" t="s">
        <v>3</v>
      </c>
      <c r="EB410" t="s">
        <v>3</v>
      </c>
      <c r="EC410" t="s">
        <v>3</v>
      </c>
      <c r="EE410">
        <v>1441815344</v>
      </c>
      <c r="EF410">
        <v>1</v>
      </c>
      <c r="EG410" t="s">
        <v>21</v>
      </c>
      <c r="EH410">
        <v>0</v>
      </c>
      <c r="EI410" t="s">
        <v>3</v>
      </c>
      <c r="EJ410">
        <v>4</v>
      </c>
      <c r="EK410">
        <v>0</v>
      </c>
      <c r="EL410" t="s">
        <v>22</v>
      </c>
      <c r="EM410" t="s">
        <v>23</v>
      </c>
      <c r="EO410" t="s">
        <v>3</v>
      </c>
      <c r="EQ410">
        <v>1024</v>
      </c>
      <c r="ER410">
        <v>494.73</v>
      </c>
      <c r="ES410">
        <v>0.74</v>
      </c>
      <c r="ET410">
        <v>0</v>
      </c>
      <c r="EU410">
        <v>0</v>
      </c>
      <c r="EV410">
        <v>493.99</v>
      </c>
      <c r="EW410">
        <v>0.8</v>
      </c>
      <c r="EX410">
        <v>0</v>
      </c>
      <c r="EY410">
        <v>0</v>
      </c>
      <c r="FQ410">
        <v>0</v>
      </c>
      <c r="FR410">
        <f t="shared" si="375"/>
        <v>0</v>
      </c>
      <c r="FS410">
        <v>0</v>
      </c>
      <c r="FX410">
        <v>70</v>
      </c>
      <c r="FY410">
        <v>10</v>
      </c>
      <c r="GA410" t="s">
        <v>3</v>
      </c>
      <c r="GD410">
        <v>0</v>
      </c>
      <c r="GF410">
        <v>-495732339</v>
      </c>
      <c r="GG410">
        <v>2</v>
      </c>
      <c r="GH410">
        <v>1</v>
      </c>
      <c r="GI410">
        <v>-2</v>
      </c>
      <c r="GJ410">
        <v>0</v>
      </c>
      <c r="GK410">
        <f>ROUND(R410*(R12)/100,2)</f>
        <v>0</v>
      </c>
      <c r="GL410">
        <f t="shared" si="376"/>
        <v>0</v>
      </c>
      <c r="GM410">
        <f t="shared" si="377"/>
        <v>40046.5</v>
      </c>
      <c r="GN410">
        <f t="shared" si="378"/>
        <v>0</v>
      </c>
      <c r="GO410">
        <f t="shared" si="379"/>
        <v>0</v>
      </c>
      <c r="GP410">
        <f t="shared" si="380"/>
        <v>40046.5</v>
      </c>
      <c r="GR410">
        <v>0</v>
      </c>
      <c r="GS410">
        <v>3</v>
      </c>
      <c r="GT410">
        <v>0</v>
      </c>
      <c r="GU410" t="s">
        <v>3</v>
      </c>
      <c r="GV410">
        <f t="shared" si="381"/>
        <v>0</v>
      </c>
      <c r="GW410">
        <v>1</v>
      </c>
      <c r="GX410">
        <f t="shared" si="382"/>
        <v>0</v>
      </c>
      <c r="HA410">
        <v>0</v>
      </c>
      <c r="HB410">
        <v>0</v>
      </c>
      <c r="HC410">
        <f t="shared" si="383"/>
        <v>0</v>
      </c>
      <c r="HE410" t="s">
        <v>3</v>
      </c>
      <c r="HF410" t="s">
        <v>3</v>
      </c>
      <c r="HM410" t="s">
        <v>3</v>
      </c>
      <c r="HN410" t="s">
        <v>3</v>
      </c>
      <c r="HO410" t="s">
        <v>3</v>
      </c>
      <c r="HP410" t="s">
        <v>3</v>
      </c>
      <c r="HQ410" t="s">
        <v>3</v>
      </c>
      <c r="IK410">
        <v>0</v>
      </c>
    </row>
    <row r="411" spans="1:245" x14ac:dyDescent="0.2">
      <c r="A411">
        <v>17</v>
      </c>
      <c r="B411">
        <v>1</v>
      </c>
      <c r="D411">
        <f>ROW(EtalonRes!A211)</f>
        <v>211</v>
      </c>
      <c r="E411" t="s">
        <v>3</v>
      </c>
      <c r="F411" t="s">
        <v>205</v>
      </c>
      <c r="G411" t="s">
        <v>323</v>
      </c>
      <c r="H411" t="s">
        <v>36</v>
      </c>
      <c r="I411">
        <f>ROUND(1*15,9)</f>
        <v>15</v>
      </c>
      <c r="J411">
        <v>0</v>
      </c>
      <c r="K411">
        <f>ROUND(1*15,9)</f>
        <v>15</v>
      </c>
      <c r="O411">
        <f t="shared" si="351"/>
        <v>1389.15</v>
      </c>
      <c r="P411">
        <f t="shared" si="352"/>
        <v>0</v>
      </c>
      <c r="Q411">
        <f t="shared" si="353"/>
        <v>0</v>
      </c>
      <c r="R411">
        <f t="shared" si="354"/>
        <v>0</v>
      </c>
      <c r="S411">
        <f t="shared" si="355"/>
        <v>1389.15</v>
      </c>
      <c r="T411">
        <f t="shared" si="356"/>
        <v>0</v>
      </c>
      <c r="U411">
        <f t="shared" si="357"/>
        <v>2.2500000000000004</v>
      </c>
      <c r="V411">
        <f t="shared" si="358"/>
        <v>0</v>
      </c>
      <c r="W411">
        <f t="shared" si="359"/>
        <v>0</v>
      </c>
      <c r="X411">
        <f t="shared" si="360"/>
        <v>972.41</v>
      </c>
      <c r="Y411">
        <f t="shared" si="361"/>
        <v>138.91999999999999</v>
      </c>
      <c r="AA411">
        <v>-1</v>
      </c>
      <c r="AB411">
        <f t="shared" si="362"/>
        <v>92.61</v>
      </c>
      <c r="AC411">
        <f>ROUND(((ES411*3)),6)</f>
        <v>0</v>
      </c>
      <c r="AD411">
        <f>ROUND(((((ET411*3))-((EU411*3)))+AE411),6)</f>
        <v>0</v>
      </c>
      <c r="AE411">
        <f>ROUND(((EU411*3)),6)</f>
        <v>0</v>
      </c>
      <c r="AF411">
        <f>ROUND(((EV411*3)),6)</f>
        <v>92.61</v>
      </c>
      <c r="AG411">
        <f t="shared" si="363"/>
        <v>0</v>
      </c>
      <c r="AH411">
        <f>((EW411*3))</f>
        <v>0.15000000000000002</v>
      </c>
      <c r="AI411">
        <f>((EX411*3))</f>
        <v>0</v>
      </c>
      <c r="AJ411">
        <f t="shared" si="364"/>
        <v>0</v>
      </c>
      <c r="AK411">
        <v>30.87</v>
      </c>
      <c r="AL411">
        <v>0</v>
      </c>
      <c r="AM411">
        <v>0</v>
      </c>
      <c r="AN411">
        <v>0</v>
      </c>
      <c r="AO411">
        <v>30.87</v>
      </c>
      <c r="AP411">
        <v>0</v>
      </c>
      <c r="AQ411">
        <v>0.05</v>
      </c>
      <c r="AR411">
        <v>0</v>
      </c>
      <c r="AS411">
        <v>0</v>
      </c>
      <c r="AT411">
        <v>70</v>
      </c>
      <c r="AU411">
        <v>10</v>
      </c>
      <c r="AV411">
        <v>1</v>
      </c>
      <c r="AW411">
        <v>1</v>
      </c>
      <c r="AZ411">
        <v>1</v>
      </c>
      <c r="BA411">
        <v>1</v>
      </c>
      <c r="BB411">
        <v>1</v>
      </c>
      <c r="BC411">
        <v>1</v>
      </c>
      <c r="BD411" t="s">
        <v>3</v>
      </c>
      <c r="BE411" t="s">
        <v>3</v>
      </c>
      <c r="BF411" t="s">
        <v>3</v>
      </c>
      <c r="BG411" t="s">
        <v>3</v>
      </c>
      <c r="BH411">
        <v>0</v>
      </c>
      <c r="BI411">
        <v>4</v>
      </c>
      <c r="BJ411" t="s">
        <v>207</v>
      </c>
      <c r="BM411">
        <v>0</v>
      </c>
      <c r="BN411">
        <v>0</v>
      </c>
      <c r="BO411" t="s">
        <v>3</v>
      </c>
      <c r="BP411">
        <v>0</v>
      </c>
      <c r="BQ411">
        <v>1</v>
      </c>
      <c r="BR411">
        <v>0</v>
      </c>
      <c r="BS411">
        <v>1</v>
      </c>
      <c r="BT411">
        <v>1</v>
      </c>
      <c r="BU411">
        <v>1</v>
      </c>
      <c r="BV411">
        <v>1</v>
      </c>
      <c r="BW411">
        <v>1</v>
      </c>
      <c r="BX411">
        <v>1</v>
      </c>
      <c r="BY411" t="s">
        <v>3</v>
      </c>
      <c r="BZ411">
        <v>70</v>
      </c>
      <c r="CA411">
        <v>10</v>
      </c>
      <c r="CB411" t="s">
        <v>3</v>
      </c>
      <c r="CE411">
        <v>0</v>
      </c>
      <c r="CF411">
        <v>0</v>
      </c>
      <c r="CG411">
        <v>0</v>
      </c>
      <c r="CM411">
        <v>0</v>
      </c>
      <c r="CN411" t="s">
        <v>3</v>
      </c>
      <c r="CO411">
        <v>0</v>
      </c>
      <c r="CP411">
        <f t="shared" si="365"/>
        <v>1389.15</v>
      </c>
      <c r="CQ411">
        <f t="shared" si="366"/>
        <v>0</v>
      </c>
      <c r="CR411">
        <f>(((((ET411*3))*BB411-((EU411*3))*BS411)+AE411*BS411)*AV411)</f>
        <v>0</v>
      </c>
      <c r="CS411">
        <f t="shared" si="367"/>
        <v>0</v>
      </c>
      <c r="CT411">
        <f t="shared" si="368"/>
        <v>92.61</v>
      </c>
      <c r="CU411">
        <f t="shared" si="369"/>
        <v>0</v>
      </c>
      <c r="CV411">
        <f t="shared" si="370"/>
        <v>0.15000000000000002</v>
      </c>
      <c r="CW411">
        <f t="shared" si="371"/>
        <v>0</v>
      </c>
      <c r="CX411">
        <f t="shared" si="372"/>
        <v>0</v>
      </c>
      <c r="CY411">
        <f t="shared" si="373"/>
        <v>972.40499999999997</v>
      </c>
      <c r="CZ411">
        <f t="shared" si="374"/>
        <v>138.91499999999999</v>
      </c>
      <c r="DC411" t="s">
        <v>3</v>
      </c>
      <c r="DD411" t="s">
        <v>163</v>
      </c>
      <c r="DE411" t="s">
        <v>163</v>
      </c>
      <c r="DF411" t="s">
        <v>163</v>
      </c>
      <c r="DG411" t="s">
        <v>163</v>
      </c>
      <c r="DH411" t="s">
        <v>3</v>
      </c>
      <c r="DI411" t="s">
        <v>163</v>
      </c>
      <c r="DJ411" t="s">
        <v>163</v>
      </c>
      <c r="DK411" t="s">
        <v>3</v>
      </c>
      <c r="DL411" t="s">
        <v>3</v>
      </c>
      <c r="DM411" t="s">
        <v>3</v>
      </c>
      <c r="DN411">
        <v>0</v>
      </c>
      <c r="DO411">
        <v>0</v>
      </c>
      <c r="DP411">
        <v>1</v>
      </c>
      <c r="DQ411">
        <v>1</v>
      </c>
      <c r="DU411">
        <v>16987630</v>
      </c>
      <c r="DV411" t="s">
        <v>36</v>
      </c>
      <c r="DW411" t="s">
        <v>36</v>
      </c>
      <c r="DX411">
        <v>1</v>
      </c>
      <c r="DZ411" t="s">
        <v>3</v>
      </c>
      <c r="EA411" t="s">
        <v>3</v>
      </c>
      <c r="EB411" t="s">
        <v>3</v>
      </c>
      <c r="EC411" t="s">
        <v>3</v>
      </c>
      <c r="EE411">
        <v>1441815344</v>
      </c>
      <c r="EF411">
        <v>1</v>
      </c>
      <c r="EG411" t="s">
        <v>21</v>
      </c>
      <c r="EH411">
        <v>0</v>
      </c>
      <c r="EI411" t="s">
        <v>3</v>
      </c>
      <c r="EJ411">
        <v>4</v>
      </c>
      <c r="EK411">
        <v>0</v>
      </c>
      <c r="EL411" t="s">
        <v>22</v>
      </c>
      <c r="EM411" t="s">
        <v>23</v>
      </c>
      <c r="EO411" t="s">
        <v>3</v>
      </c>
      <c r="EQ411">
        <v>1024</v>
      </c>
      <c r="ER411">
        <v>30.87</v>
      </c>
      <c r="ES411">
        <v>0</v>
      </c>
      <c r="ET411">
        <v>0</v>
      </c>
      <c r="EU411">
        <v>0</v>
      </c>
      <c r="EV411">
        <v>30.87</v>
      </c>
      <c r="EW411">
        <v>0.05</v>
      </c>
      <c r="EX411">
        <v>0</v>
      </c>
      <c r="EY411">
        <v>0</v>
      </c>
      <c r="FQ411">
        <v>0</v>
      </c>
      <c r="FR411">
        <f t="shared" si="375"/>
        <v>0</v>
      </c>
      <c r="FS411">
        <v>0</v>
      </c>
      <c r="FX411">
        <v>70</v>
      </c>
      <c r="FY411">
        <v>10</v>
      </c>
      <c r="GA411" t="s">
        <v>3</v>
      </c>
      <c r="GD411">
        <v>0</v>
      </c>
      <c r="GF411">
        <v>521629998</v>
      </c>
      <c r="GG411">
        <v>2</v>
      </c>
      <c r="GH411">
        <v>1</v>
      </c>
      <c r="GI411">
        <v>-2</v>
      </c>
      <c r="GJ411">
        <v>0</v>
      </c>
      <c r="GK411">
        <f>ROUND(R411*(R12)/100,2)</f>
        <v>0</v>
      </c>
      <c r="GL411">
        <f t="shared" si="376"/>
        <v>0</v>
      </c>
      <c r="GM411">
        <f t="shared" si="377"/>
        <v>2500.48</v>
      </c>
      <c r="GN411">
        <f t="shared" si="378"/>
        <v>0</v>
      </c>
      <c r="GO411">
        <f t="shared" si="379"/>
        <v>0</v>
      </c>
      <c r="GP411">
        <f t="shared" si="380"/>
        <v>2500.48</v>
      </c>
      <c r="GR411">
        <v>0</v>
      </c>
      <c r="GS411">
        <v>3</v>
      </c>
      <c r="GT411">
        <v>0</v>
      </c>
      <c r="GU411" t="s">
        <v>3</v>
      </c>
      <c r="GV411">
        <f t="shared" si="381"/>
        <v>0</v>
      </c>
      <c r="GW411">
        <v>1</v>
      </c>
      <c r="GX411">
        <f t="shared" si="382"/>
        <v>0</v>
      </c>
      <c r="HA411">
        <v>0</v>
      </c>
      <c r="HB411">
        <v>0</v>
      </c>
      <c r="HC411">
        <f t="shared" si="383"/>
        <v>0</v>
      </c>
      <c r="HE411" t="s">
        <v>3</v>
      </c>
      <c r="HF411" t="s">
        <v>3</v>
      </c>
      <c r="HM411" t="s">
        <v>3</v>
      </c>
      <c r="HN411" t="s">
        <v>3</v>
      </c>
      <c r="HO411" t="s">
        <v>3</v>
      </c>
      <c r="HP411" t="s">
        <v>3</v>
      </c>
      <c r="HQ411" t="s">
        <v>3</v>
      </c>
      <c r="IK411">
        <v>0</v>
      </c>
    </row>
    <row r="412" spans="1:245" x14ac:dyDescent="0.2">
      <c r="A412">
        <v>17</v>
      </c>
      <c r="B412">
        <v>1</v>
      </c>
      <c r="D412">
        <f>ROW(EtalonRes!A217)</f>
        <v>217</v>
      </c>
      <c r="E412" t="s">
        <v>324</v>
      </c>
      <c r="F412" t="s">
        <v>209</v>
      </c>
      <c r="G412" t="s">
        <v>325</v>
      </c>
      <c r="H412" t="s">
        <v>36</v>
      </c>
      <c r="I412">
        <f>ROUND(1*15,9)</f>
        <v>15</v>
      </c>
      <c r="J412">
        <v>0</v>
      </c>
      <c r="K412">
        <f>ROUND(1*15,9)</f>
        <v>15</v>
      </c>
      <c r="O412">
        <f t="shared" si="351"/>
        <v>14079.3</v>
      </c>
      <c r="P412">
        <f t="shared" si="352"/>
        <v>185.85</v>
      </c>
      <c r="Q412">
        <f t="shared" si="353"/>
        <v>0</v>
      </c>
      <c r="R412">
        <f t="shared" si="354"/>
        <v>0</v>
      </c>
      <c r="S412">
        <f t="shared" si="355"/>
        <v>13893.45</v>
      </c>
      <c r="T412">
        <f t="shared" si="356"/>
        <v>0</v>
      </c>
      <c r="U412">
        <f t="shared" si="357"/>
        <v>22.5</v>
      </c>
      <c r="V412">
        <f t="shared" si="358"/>
        <v>0</v>
      </c>
      <c r="W412">
        <f t="shared" si="359"/>
        <v>0</v>
      </c>
      <c r="X412">
        <f t="shared" si="360"/>
        <v>9725.42</v>
      </c>
      <c r="Y412">
        <f t="shared" si="361"/>
        <v>1389.35</v>
      </c>
      <c r="AA412">
        <v>1471718271</v>
      </c>
      <c r="AB412">
        <f t="shared" si="362"/>
        <v>938.62</v>
      </c>
      <c r="AC412">
        <f>ROUND((ES412),6)</f>
        <v>12.39</v>
      </c>
      <c r="AD412">
        <f>ROUND((((ET412)-(EU412))+AE412),6)</f>
        <v>0</v>
      </c>
      <c r="AE412">
        <f>ROUND((EU412),6)</f>
        <v>0</v>
      </c>
      <c r="AF412">
        <f>ROUND((EV412),6)</f>
        <v>926.23</v>
      </c>
      <c r="AG412">
        <f t="shared" si="363"/>
        <v>0</v>
      </c>
      <c r="AH412">
        <f>(EW412)</f>
        <v>1.5</v>
      </c>
      <c r="AI412">
        <f>(EX412)</f>
        <v>0</v>
      </c>
      <c r="AJ412">
        <f t="shared" si="364"/>
        <v>0</v>
      </c>
      <c r="AK412">
        <v>938.62</v>
      </c>
      <c r="AL412">
        <v>12.39</v>
      </c>
      <c r="AM412">
        <v>0</v>
      </c>
      <c r="AN412">
        <v>0</v>
      </c>
      <c r="AO412">
        <v>926.23</v>
      </c>
      <c r="AP412">
        <v>0</v>
      </c>
      <c r="AQ412">
        <v>1.5</v>
      </c>
      <c r="AR412">
        <v>0</v>
      </c>
      <c r="AS412">
        <v>0</v>
      </c>
      <c r="AT412">
        <v>70</v>
      </c>
      <c r="AU412">
        <v>10</v>
      </c>
      <c r="AV412">
        <v>1</v>
      </c>
      <c r="AW412">
        <v>1</v>
      </c>
      <c r="AZ412">
        <v>1</v>
      </c>
      <c r="BA412">
        <v>1</v>
      </c>
      <c r="BB412">
        <v>1</v>
      </c>
      <c r="BC412">
        <v>1</v>
      </c>
      <c r="BD412" t="s">
        <v>3</v>
      </c>
      <c r="BE412" t="s">
        <v>3</v>
      </c>
      <c r="BF412" t="s">
        <v>3</v>
      </c>
      <c r="BG412" t="s">
        <v>3</v>
      </c>
      <c r="BH412">
        <v>0</v>
      </c>
      <c r="BI412">
        <v>4</v>
      </c>
      <c r="BJ412" t="s">
        <v>211</v>
      </c>
      <c r="BM412">
        <v>0</v>
      </c>
      <c r="BN412">
        <v>0</v>
      </c>
      <c r="BO412" t="s">
        <v>3</v>
      </c>
      <c r="BP412">
        <v>0</v>
      </c>
      <c r="BQ412">
        <v>1</v>
      </c>
      <c r="BR412">
        <v>0</v>
      </c>
      <c r="BS412">
        <v>1</v>
      </c>
      <c r="BT412">
        <v>1</v>
      </c>
      <c r="BU412">
        <v>1</v>
      </c>
      <c r="BV412">
        <v>1</v>
      </c>
      <c r="BW412">
        <v>1</v>
      </c>
      <c r="BX412">
        <v>1</v>
      </c>
      <c r="BY412" t="s">
        <v>3</v>
      </c>
      <c r="BZ412">
        <v>70</v>
      </c>
      <c r="CA412">
        <v>10</v>
      </c>
      <c r="CB412" t="s">
        <v>3</v>
      </c>
      <c r="CE412">
        <v>0</v>
      </c>
      <c r="CF412">
        <v>0</v>
      </c>
      <c r="CG412">
        <v>0</v>
      </c>
      <c r="CM412">
        <v>0</v>
      </c>
      <c r="CN412" t="s">
        <v>3</v>
      </c>
      <c r="CO412">
        <v>0</v>
      </c>
      <c r="CP412">
        <f t="shared" si="365"/>
        <v>14079.300000000001</v>
      </c>
      <c r="CQ412">
        <f t="shared" si="366"/>
        <v>12.39</v>
      </c>
      <c r="CR412">
        <f>((((ET412)*BB412-(EU412)*BS412)+AE412*BS412)*AV412)</f>
        <v>0</v>
      </c>
      <c r="CS412">
        <f t="shared" si="367"/>
        <v>0</v>
      </c>
      <c r="CT412">
        <f t="shared" si="368"/>
        <v>926.23</v>
      </c>
      <c r="CU412">
        <f t="shared" si="369"/>
        <v>0</v>
      </c>
      <c r="CV412">
        <f t="shared" si="370"/>
        <v>1.5</v>
      </c>
      <c r="CW412">
        <f t="shared" si="371"/>
        <v>0</v>
      </c>
      <c r="CX412">
        <f t="shared" si="372"/>
        <v>0</v>
      </c>
      <c r="CY412">
        <f t="shared" si="373"/>
        <v>9725.4150000000009</v>
      </c>
      <c r="CZ412">
        <f t="shared" si="374"/>
        <v>1389.345</v>
      </c>
      <c r="DC412" t="s">
        <v>3</v>
      </c>
      <c r="DD412" t="s">
        <v>3</v>
      </c>
      <c r="DE412" t="s">
        <v>3</v>
      </c>
      <c r="DF412" t="s">
        <v>3</v>
      </c>
      <c r="DG412" t="s">
        <v>3</v>
      </c>
      <c r="DH412" t="s">
        <v>3</v>
      </c>
      <c r="DI412" t="s">
        <v>3</v>
      </c>
      <c r="DJ412" t="s">
        <v>3</v>
      </c>
      <c r="DK412" t="s">
        <v>3</v>
      </c>
      <c r="DL412" t="s">
        <v>3</v>
      </c>
      <c r="DM412" t="s">
        <v>3</v>
      </c>
      <c r="DN412">
        <v>0</v>
      </c>
      <c r="DO412">
        <v>0</v>
      </c>
      <c r="DP412">
        <v>1</v>
      </c>
      <c r="DQ412">
        <v>1</v>
      </c>
      <c r="DU412">
        <v>16987630</v>
      </c>
      <c r="DV412" t="s">
        <v>36</v>
      </c>
      <c r="DW412" t="s">
        <v>36</v>
      </c>
      <c r="DX412">
        <v>1</v>
      </c>
      <c r="DZ412" t="s">
        <v>3</v>
      </c>
      <c r="EA412" t="s">
        <v>3</v>
      </c>
      <c r="EB412" t="s">
        <v>3</v>
      </c>
      <c r="EC412" t="s">
        <v>3</v>
      </c>
      <c r="EE412">
        <v>1441815344</v>
      </c>
      <c r="EF412">
        <v>1</v>
      </c>
      <c r="EG412" t="s">
        <v>21</v>
      </c>
      <c r="EH412">
        <v>0</v>
      </c>
      <c r="EI412" t="s">
        <v>3</v>
      </c>
      <c r="EJ412">
        <v>4</v>
      </c>
      <c r="EK412">
        <v>0</v>
      </c>
      <c r="EL412" t="s">
        <v>22</v>
      </c>
      <c r="EM412" t="s">
        <v>23</v>
      </c>
      <c r="EO412" t="s">
        <v>3</v>
      </c>
      <c r="EQ412">
        <v>0</v>
      </c>
      <c r="ER412">
        <v>938.62</v>
      </c>
      <c r="ES412">
        <v>12.39</v>
      </c>
      <c r="ET412">
        <v>0</v>
      </c>
      <c r="EU412">
        <v>0</v>
      </c>
      <c r="EV412">
        <v>926.23</v>
      </c>
      <c r="EW412">
        <v>1.5</v>
      </c>
      <c r="EX412">
        <v>0</v>
      </c>
      <c r="EY412">
        <v>0</v>
      </c>
      <c r="FQ412">
        <v>0</v>
      </c>
      <c r="FR412">
        <f t="shared" si="375"/>
        <v>0</v>
      </c>
      <c r="FS412">
        <v>0</v>
      </c>
      <c r="FX412">
        <v>70</v>
      </c>
      <c r="FY412">
        <v>10</v>
      </c>
      <c r="GA412" t="s">
        <v>3</v>
      </c>
      <c r="GD412">
        <v>0</v>
      </c>
      <c r="GF412">
        <v>144836529</v>
      </c>
      <c r="GG412">
        <v>2</v>
      </c>
      <c r="GH412">
        <v>1</v>
      </c>
      <c r="GI412">
        <v>-2</v>
      </c>
      <c r="GJ412">
        <v>0</v>
      </c>
      <c r="GK412">
        <f>ROUND(R412*(R12)/100,2)</f>
        <v>0</v>
      </c>
      <c r="GL412">
        <f t="shared" si="376"/>
        <v>0</v>
      </c>
      <c r="GM412">
        <f t="shared" si="377"/>
        <v>25194.07</v>
      </c>
      <c r="GN412">
        <f t="shared" si="378"/>
        <v>0</v>
      </c>
      <c r="GO412">
        <f t="shared" si="379"/>
        <v>0</v>
      </c>
      <c r="GP412">
        <f t="shared" si="380"/>
        <v>25194.07</v>
      </c>
      <c r="GR412">
        <v>0</v>
      </c>
      <c r="GS412">
        <v>3</v>
      </c>
      <c r="GT412">
        <v>0</v>
      </c>
      <c r="GU412" t="s">
        <v>3</v>
      </c>
      <c r="GV412">
        <f t="shared" si="381"/>
        <v>0</v>
      </c>
      <c r="GW412">
        <v>1</v>
      </c>
      <c r="GX412">
        <f t="shared" si="382"/>
        <v>0</v>
      </c>
      <c r="HA412">
        <v>0</v>
      </c>
      <c r="HB412">
        <v>0</v>
      </c>
      <c r="HC412">
        <f t="shared" si="383"/>
        <v>0</v>
      </c>
      <c r="HE412" t="s">
        <v>3</v>
      </c>
      <c r="HF412" t="s">
        <v>3</v>
      </c>
      <c r="HM412" t="s">
        <v>3</v>
      </c>
      <c r="HN412" t="s">
        <v>3</v>
      </c>
      <c r="HO412" t="s">
        <v>3</v>
      </c>
      <c r="HP412" t="s">
        <v>3</v>
      </c>
      <c r="HQ412" t="s">
        <v>3</v>
      </c>
      <c r="IK412">
        <v>0</v>
      </c>
    </row>
    <row r="413" spans="1:245" x14ac:dyDescent="0.2">
      <c r="A413">
        <v>17</v>
      </c>
      <c r="B413">
        <v>1</v>
      </c>
      <c r="D413">
        <f>ROW(EtalonRes!A220)</f>
        <v>220</v>
      </c>
      <c r="E413" t="s">
        <v>326</v>
      </c>
      <c r="F413" t="s">
        <v>213</v>
      </c>
      <c r="G413" t="s">
        <v>327</v>
      </c>
      <c r="H413" t="s">
        <v>36</v>
      </c>
      <c r="I413">
        <f>ROUND(1*15,9)</f>
        <v>15</v>
      </c>
      <c r="J413">
        <v>0</v>
      </c>
      <c r="K413">
        <f>ROUND(1*15,9)</f>
        <v>15</v>
      </c>
      <c r="O413">
        <f t="shared" si="351"/>
        <v>6522.9</v>
      </c>
      <c r="P413">
        <f t="shared" si="352"/>
        <v>135.9</v>
      </c>
      <c r="Q413">
        <f t="shared" si="353"/>
        <v>0</v>
      </c>
      <c r="R413">
        <f t="shared" si="354"/>
        <v>0</v>
      </c>
      <c r="S413">
        <f t="shared" si="355"/>
        <v>6387</v>
      </c>
      <c r="T413">
        <f t="shared" si="356"/>
        <v>0</v>
      </c>
      <c r="U413">
        <f t="shared" si="357"/>
        <v>9</v>
      </c>
      <c r="V413">
        <f t="shared" si="358"/>
        <v>0</v>
      </c>
      <c r="W413">
        <f t="shared" si="359"/>
        <v>0</v>
      </c>
      <c r="X413">
        <f t="shared" si="360"/>
        <v>4470.8999999999996</v>
      </c>
      <c r="Y413">
        <f t="shared" si="361"/>
        <v>638.70000000000005</v>
      </c>
      <c r="AA413">
        <v>1471718271</v>
      </c>
      <c r="AB413">
        <f t="shared" si="362"/>
        <v>434.86</v>
      </c>
      <c r="AC413">
        <f>ROUND(((ES413*2)),6)</f>
        <v>9.06</v>
      </c>
      <c r="AD413">
        <f>ROUND(((((ET413*2))-((EU413*2)))+AE413),6)</f>
        <v>0</v>
      </c>
      <c r="AE413">
        <f>ROUND(((EU413*2)),6)</f>
        <v>0</v>
      </c>
      <c r="AF413">
        <f>ROUND(((EV413*2)),6)</f>
        <v>425.8</v>
      </c>
      <c r="AG413">
        <f t="shared" si="363"/>
        <v>0</v>
      </c>
      <c r="AH413">
        <f>((EW413*2))</f>
        <v>0.6</v>
      </c>
      <c r="AI413">
        <f>((EX413*2))</f>
        <v>0</v>
      </c>
      <c r="AJ413">
        <f t="shared" si="364"/>
        <v>0</v>
      </c>
      <c r="AK413">
        <v>217.43</v>
      </c>
      <c r="AL413">
        <v>4.53</v>
      </c>
      <c r="AM413">
        <v>0</v>
      </c>
      <c r="AN413">
        <v>0</v>
      </c>
      <c r="AO413">
        <v>212.9</v>
      </c>
      <c r="AP413">
        <v>0</v>
      </c>
      <c r="AQ413">
        <v>0.3</v>
      </c>
      <c r="AR413">
        <v>0</v>
      </c>
      <c r="AS413">
        <v>0</v>
      </c>
      <c r="AT413">
        <v>70</v>
      </c>
      <c r="AU413">
        <v>10</v>
      </c>
      <c r="AV413">
        <v>1</v>
      </c>
      <c r="AW413">
        <v>1</v>
      </c>
      <c r="AZ413">
        <v>1</v>
      </c>
      <c r="BA413">
        <v>1</v>
      </c>
      <c r="BB413">
        <v>1</v>
      </c>
      <c r="BC413">
        <v>1</v>
      </c>
      <c r="BD413" t="s">
        <v>3</v>
      </c>
      <c r="BE413" t="s">
        <v>3</v>
      </c>
      <c r="BF413" t="s">
        <v>3</v>
      </c>
      <c r="BG413" t="s">
        <v>3</v>
      </c>
      <c r="BH413">
        <v>0</v>
      </c>
      <c r="BI413">
        <v>4</v>
      </c>
      <c r="BJ413" t="s">
        <v>215</v>
      </c>
      <c r="BM413">
        <v>0</v>
      </c>
      <c r="BN413">
        <v>0</v>
      </c>
      <c r="BO413" t="s">
        <v>3</v>
      </c>
      <c r="BP413">
        <v>0</v>
      </c>
      <c r="BQ413">
        <v>1</v>
      </c>
      <c r="BR413">
        <v>0</v>
      </c>
      <c r="BS413">
        <v>1</v>
      </c>
      <c r="BT413">
        <v>1</v>
      </c>
      <c r="BU413">
        <v>1</v>
      </c>
      <c r="BV413">
        <v>1</v>
      </c>
      <c r="BW413">
        <v>1</v>
      </c>
      <c r="BX413">
        <v>1</v>
      </c>
      <c r="BY413" t="s">
        <v>3</v>
      </c>
      <c r="BZ413">
        <v>70</v>
      </c>
      <c r="CA413">
        <v>10</v>
      </c>
      <c r="CB413" t="s">
        <v>3</v>
      </c>
      <c r="CE413">
        <v>0</v>
      </c>
      <c r="CF413">
        <v>0</v>
      </c>
      <c r="CG413">
        <v>0</v>
      </c>
      <c r="CM413">
        <v>0</v>
      </c>
      <c r="CN413" t="s">
        <v>3</v>
      </c>
      <c r="CO413">
        <v>0</v>
      </c>
      <c r="CP413">
        <f t="shared" si="365"/>
        <v>6522.9</v>
      </c>
      <c r="CQ413">
        <f t="shared" si="366"/>
        <v>9.06</v>
      </c>
      <c r="CR413">
        <f>(((((ET413*2))*BB413-((EU413*2))*BS413)+AE413*BS413)*AV413)</f>
        <v>0</v>
      </c>
      <c r="CS413">
        <f t="shared" si="367"/>
        <v>0</v>
      </c>
      <c r="CT413">
        <f t="shared" si="368"/>
        <v>425.8</v>
      </c>
      <c r="CU413">
        <f t="shared" si="369"/>
        <v>0</v>
      </c>
      <c r="CV413">
        <f t="shared" si="370"/>
        <v>0.6</v>
      </c>
      <c r="CW413">
        <f t="shared" si="371"/>
        <v>0</v>
      </c>
      <c r="CX413">
        <f t="shared" si="372"/>
        <v>0</v>
      </c>
      <c r="CY413">
        <f t="shared" si="373"/>
        <v>4470.8999999999996</v>
      </c>
      <c r="CZ413">
        <f t="shared" si="374"/>
        <v>638.70000000000005</v>
      </c>
      <c r="DC413" t="s">
        <v>3</v>
      </c>
      <c r="DD413" t="s">
        <v>42</v>
      </c>
      <c r="DE413" t="s">
        <v>42</v>
      </c>
      <c r="DF413" t="s">
        <v>42</v>
      </c>
      <c r="DG413" t="s">
        <v>42</v>
      </c>
      <c r="DH413" t="s">
        <v>3</v>
      </c>
      <c r="DI413" t="s">
        <v>42</v>
      </c>
      <c r="DJ413" t="s">
        <v>42</v>
      </c>
      <c r="DK413" t="s">
        <v>3</v>
      </c>
      <c r="DL413" t="s">
        <v>3</v>
      </c>
      <c r="DM413" t="s">
        <v>3</v>
      </c>
      <c r="DN413">
        <v>0</v>
      </c>
      <c r="DO413">
        <v>0</v>
      </c>
      <c r="DP413">
        <v>1</v>
      </c>
      <c r="DQ413">
        <v>1</v>
      </c>
      <c r="DU413">
        <v>16987630</v>
      </c>
      <c r="DV413" t="s">
        <v>36</v>
      </c>
      <c r="DW413" t="s">
        <v>36</v>
      </c>
      <c r="DX413">
        <v>1</v>
      </c>
      <c r="DZ413" t="s">
        <v>3</v>
      </c>
      <c r="EA413" t="s">
        <v>3</v>
      </c>
      <c r="EB413" t="s">
        <v>3</v>
      </c>
      <c r="EC413" t="s">
        <v>3</v>
      </c>
      <c r="EE413">
        <v>1441815344</v>
      </c>
      <c r="EF413">
        <v>1</v>
      </c>
      <c r="EG413" t="s">
        <v>21</v>
      </c>
      <c r="EH413">
        <v>0</v>
      </c>
      <c r="EI413" t="s">
        <v>3</v>
      </c>
      <c r="EJ413">
        <v>4</v>
      </c>
      <c r="EK413">
        <v>0</v>
      </c>
      <c r="EL413" t="s">
        <v>22</v>
      </c>
      <c r="EM413" t="s">
        <v>23</v>
      </c>
      <c r="EO413" t="s">
        <v>3</v>
      </c>
      <c r="EQ413">
        <v>0</v>
      </c>
      <c r="ER413">
        <v>217.43</v>
      </c>
      <c r="ES413">
        <v>4.53</v>
      </c>
      <c r="ET413">
        <v>0</v>
      </c>
      <c r="EU413">
        <v>0</v>
      </c>
      <c r="EV413">
        <v>212.9</v>
      </c>
      <c r="EW413">
        <v>0.3</v>
      </c>
      <c r="EX413">
        <v>0</v>
      </c>
      <c r="EY413">
        <v>0</v>
      </c>
      <c r="FQ413">
        <v>0</v>
      </c>
      <c r="FR413">
        <f t="shared" si="375"/>
        <v>0</v>
      </c>
      <c r="FS413">
        <v>0</v>
      </c>
      <c r="FX413">
        <v>70</v>
      </c>
      <c r="FY413">
        <v>10</v>
      </c>
      <c r="GA413" t="s">
        <v>3</v>
      </c>
      <c r="GD413">
        <v>0</v>
      </c>
      <c r="GF413">
        <v>1448824636</v>
      </c>
      <c r="GG413">
        <v>2</v>
      </c>
      <c r="GH413">
        <v>1</v>
      </c>
      <c r="GI413">
        <v>-2</v>
      </c>
      <c r="GJ413">
        <v>0</v>
      </c>
      <c r="GK413">
        <f>ROUND(R413*(R12)/100,2)</f>
        <v>0</v>
      </c>
      <c r="GL413">
        <f t="shared" si="376"/>
        <v>0</v>
      </c>
      <c r="GM413">
        <f t="shared" si="377"/>
        <v>11632.5</v>
      </c>
      <c r="GN413">
        <f t="shared" si="378"/>
        <v>0</v>
      </c>
      <c r="GO413">
        <f t="shared" si="379"/>
        <v>0</v>
      </c>
      <c r="GP413">
        <f t="shared" si="380"/>
        <v>11632.5</v>
      </c>
      <c r="GR413">
        <v>0</v>
      </c>
      <c r="GS413">
        <v>3</v>
      </c>
      <c r="GT413">
        <v>0</v>
      </c>
      <c r="GU413" t="s">
        <v>3</v>
      </c>
      <c r="GV413">
        <f t="shared" si="381"/>
        <v>0</v>
      </c>
      <c r="GW413">
        <v>1</v>
      </c>
      <c r="GX413">
        <f t="shared" si="382"/>
        <v>0</v>
      </c>
      <c r="HA413">
        <v>0</v>
      </c>
      <c r="HB413">
        <v>0</v>
      </c>
      <c r="HC413">
        <f t="shared" si="383"/>
        <v>0</v>
      </c>
      <c r="HE413" t="s">
        <v>3</v>
      </c>
      <c r="HF413" t="s">
        <v>3</v>
      </c>
      <c r="HM413" t="s">
        <v>3</v>
      </c>
      <c r="HN413" t="s">
        <v>3</v>
      </c>
      <c r="HO413" t="s">
        <v>3</v>
      </c>
      <c r="HP413" t="s">
        <v>3</v>
      </c>
      <c r="HQ413" t="s">
        <v>3</v>
      </c>
      <c r="IK413">
        <v>0</v>
      </c>
    </row>
    <row r="414" spans="1:245" x14ac:dyDescent="0.2">
      <c r="A414">
        <v>17</v>
      </c>
      <c r="B414">
        <v>1</v>
      </c>
      <c r="D414">
        <f>ROW(EtalonRes!A222)</f>
        <v>222</v>
      </c>
      <c r="E414" t="s">
        <v>3</v>
      </c>
      <c r="F414" t="s">
        <v>216</v>
      </c>
      <c r="G414" t="s">
        <v>328</v>
      </c>
      <c r="H414" t="s">
        <v>36</v>
      </c>
      <c r="I414">
        <f>ROUND(6*15,9)</f>
        <v>90</v>
      </c>
      <c r="J414">
        <v>0</v>
      </c>
      <c r="K414">
        <f>ROUND(6*15,9)</f>
        <v>90</v>
      </c>
      <c r="O414">
        <f t="shared" si="351"/>
        <v>6671.7</v>
      </c>
      <c r="P414">
        <f t="shared" si="352"/>
        <v>2.7</v>
      </c>
      <c r="Q414">
        <f t="shared" si="353"/>
        <v>0</v>
      </c>
      <c r="R414">
        <f t="shared" si="354"/>
        <v>0</v>
      </c>
      <c r="S414">
        <f t="shared" si="355"/>
        <v>6669</v>
      </c>
      <c r="T414">
        <f t="shared" si="356"/>
        <v>0</v>
      </c>
      <c r="U414">
        <f t="shared" si="357"/>
        <v>10.799999999999999</v>
      </c>
      <c r="V414">
        <f t="shared" si="358"/>
        <v>0</v>
      </c>
      <c r="W414">
        <f t="shared" si="359"/>
        <v>0</v>
      </c>
      <c r="X414">
        <f t="shared" si="360"/>
        <v>4668.3</v>
      </c>
      <c r="Y414">
        <f t="shared" si="361"/>
        <v>666.9</v>
      </c>
      <c r="AA414">
        <v>-1</v>
      </c>
      <c r="AB414">
        <f t="shared" si="362"/>
        <v>74.13</v>
      </c>
      <c r="AC414">
        <f>ROUND(((ES414*3)),6)</f>
        <v>0.03</v>
      </c>
      <c r="AD414">
        <f>ROUND(((((ET414*3))-((EU414*3)))+AE414),6)</f>
        <v>0</v>
      </c>
      <c r="AE414">
        <f>ROUND(((EU414*3)),6)</f>
        <v>0</v>
      </c>
      <c r="AF414">
        <f>ROUND(((EV414*3)),6)</f>
        <v>74.099999999999994</v>
      </c>
      <c r="AG414">
        <f t="shared" si="363"/>
        <v>0</v>
      </c>
      <c r="AH414">
        <f>((EW414*3))</f>
        <v>0.12</v>
      </c>
      <c r="AI414">
        <f>((EX414*3))</f>
        <v>0</v>
      </c>
      <c r="AJ414">
        <f t="shared" si="364"/>
        <v>0</v>
      </c>
      <c r="AK414">
        <v>24.71</v>
      </c>
      <c r="AL414">
        <v>0.01</v>
      </c>
      <c r="AM414">
        <v>0</v>
      </c>
      <c r="AN414">
        <v>0</v>
      </c>
      <c r="AO414">
        <v>24.7</v>
      </c>
      <c r="AP414">
        <v>0</v>
      </c>
      <c r="AQ414">
        <v>0.04</v>
      </c>
      <c r="AR414">
        <v>0</v>
      </c>
      <c r="AS414">
        <v>0</v>
      </c>
      <c r="AT414">
        <v>70</v>
      </c>
      <c r="AU414">
        <v>10</v>
      </c>
      <c r="AV414">
        <v>1</v>
      </c>
      <c r="AW414">
        <v>1</v>
      </c>
      <c r="AZ414">
        <v>1</v>
      </c>
      <c r="BA414">
        <v>1</v>
      </c>
      <c r="BB414">
        <v>1</v>
      </c>
      <c r="BC414">
        <v>1</v>
      </c>
      <c r="BD414" t="s">
        <v>3</v>
      </c>
      <c r="BE414" t="s">
        <v>3</v>
      </c>
      <c r="BF414" t="s">
        <v>3</v>
      </c>
      <c r="BG414" t="s">
        <v>3</v>
      </c>
      <c r="BH414">
        <v>0</v>
      </c>
      <c r="BI414">
        <v>4</v>
      </c>
      <c r="BJ414" t="s">
        <v>218</v>
      </c>
      <c r="BM414">
        <v>0</v>
      </c>
      <c r="BN414">
        <v>0</v>
      </c>
      <c r="BO414" t="s">
        <v>3</v>
      </c>
      <c r="BP414">
        <v>0</v>
      </c>
      <c r="BQ414">
        <v>1</v>
      </c>
      <c r="BR414">
        <v>0</v>
      </c>
      <c r="BS414">
        <v>1</v>
      </c>
      <c r="BT414">
        <v>1</v>
      </c>
      <c r="BU414">
        <v>1</v>
      </c>
      <c r="BV414">
        <v>1</v>
      </c>
      <c r="BW414">
        <v>1</v>
      </c>
      <c r="BX414">
        <v>1</v>
      </c>
      <c r="BY414" t="s">
        <v>3</v>
      </c>
      <c r="BZ414">
        <v>70</v>
      </c>
      <c r="CA414">
        <v>10</v>
      </c>
      <c r="CB414" t="s">
        <v>3</v>
      </c>
      <c r="CE414">
        <v>0</v>
      </c>
      <c r="CF414">
        <v>0</v>
      </c>
      <c r="CG414">
        <v>0</v>
      </c>
      <c r="CM414">
        <v>0</v>
      </c>
      <c r="CN414" t="s">
        <v>3</v>
      </c>
      <c r="CO414">
        <v>0</v>
      </c>
      <c r="CP414">
        <f t="shared" si="365"/>
        <v>6671.7</v>
      </c>
      <c r="CQ414">
        <f t="shared" si="366"/>
        <v>0.03</v>
      </c>
      <c r="CR414">
        <f>(((((ET414*3))*BB414-((EU414*3))*BS414)+AE414*BS414)*AV414)</f>
        <v>0</v>
      </c>
      <c r="CS414">
        <f t="shared" si="367"/>
        <v>0</v>
      </c>
      <c r="CT414">
        <f t="shared" si="368"/>
        <v>74.099999999999994</v>
      </c>
      <c r="CU414">
        <f t="shared" si="369"/>
        <v>0</v>
      </c>
      <c r="CV414">
        <f t="shared" si="370"/>
        <v>0.12</v>
      </c>
      <c r="CW414">
        <f t="shared" si="371"/>
        <v>0</v>
      </c>
      <c r="CX414">
        <f t="shared" si="372"/>
        <v>0</v>
      </c>
      <c r="CY414">
        <f t="shared" si="373"/>
        <v>4668.3</v>
      </c>
      <c r="CZ414">
        <f t="shared" si="374"/>
        <v>666.9</v>
      </c>
      <c r="DC414" t="s">
        <v>3</v>
      </c>
      <c r="DD414" t="s">
        <v>163</v>
      </c>
      <c r="DE414" t="s">
        <v>163</v>
      </c>
      <c r="DF414" t="s">
        <v>163</v>
      </c>
      <c r="DG414" t="s">
        <v>163</v>
      </c>
      <c r="DH414" t="s">
        <v>3</v>
      </c>
      <c r="DI414" t="s">
        <v>163</v>
      </c>
      <c r="DJ414" t="s">
        <v>163</v>
      </c>
      <c r="DK414" t="s">
        <v>3</v>
      </c>
      <c r="DL414" t="s">
        <v>3</v>
      </c>
      <c r="DM414" t="s">
        <v>3</v>
      </c>
      <c r="DN414">
        <v>0</v>
      </c>
      <c r="DO414">
        <v>0</v>
      </c>
      <c r="DP414">
        <v>1</v>
      </c>
      <c r="DQ414">
        <v>1</v>
      </c>
      <c r="DU414">
        <v>16987630</v>
      </c>
      <c r="DV414" t="s">
        <v>36</v>
      </c>
      <c r="DW414" t="s">
        <v>36</v>
      </c>
      <c r="DX414">
        <v>1</v>
      </c>
      <c r="DZ414" t="s">
        <v>3</v>
      </c>
      <c r="EA414" t="s">
        <v>3</v>
      </c>
      <c r="EB414" t="s">
        <v>3</v>
      </c>
      <c r="EC414" t="s">
        <v>3</v>
      </c>
      <c r="EE414">
        <v>1441815344</v>
      </c>
      <c r="EF414">
        <v>1</v>
      </c>
      <c r="EG414" t="s">
        <v>21</v>
      </c>
      <c r="EH414">
        <v>0</v>
      </c>
      <c r="EI414" t="s">
        <v>3</v>
      </c>
      <c r="EJ414">
        <v>4</v>
      </c>
      <c r="EK414">
        <v>0</v>
      </c>
      <c r="EL414" t="s">
        <v>22</v>
      </c>
      <c r="EM414" t="s">
        <v>23</v>
      </c>
      <c r="EO414" t="s">
        <v>3</v>
      </c>
      <c r="EQ414">
        <v>1024</v>
      </c>
      <c r="ER414">
        <v>24.71</v>
      </c>
      <c r="ES414">
        <v>0.01</v>
      </c>
      <c r="ET414">
        <v>0</v>
      </c>
      <c r="EU414">
        <v>0</v>
      </c>
      <c r="EV414">
        <v>24.7</v>
      </c>
      <c r="EW414">
        <v>0.04</v>
      </c>
      <c r="EX414">
        <v>0</v>
      </c>
      <c r="EY414">
        <v>0</v>
      </c>
      <c r="FQ414">
        <v>0</v>
      </c>
      <c r="FR414">
        <f t="shared" si="375"/>
        <v>0</v>
      </c>
      <c r="FS414">
        <v>0</v>
      </c>
      <c r="FX414">
        <v>70</v>
      </c>
      <c r="FY414">
        <v>10</v>
      </c>
      <c r="GA414" t="s">
        <v>3</v>
      </c>
      <c r="GD414">
        <v>0</v>
      </c>
      <c r="GF414">
        <v>2079911705</v>
      </c>
      <c r="GG414">
        <v>2</v>
      </c>
      <c r="GH414">
        <v>1</v>
      </c>
      <c r="GI414">
        <v>-2</v>
      </c>
      <c r="GJ414">
        <v>0</v>
      </c>
      <c r="GK414">
        <f>ROUND(R414*(R12)/100,2)</f>
        <v>0</v>
      </c>
      <c r="GL414">
        <f t="shared" si="376"/>
        <v>0</v>
      </c>
      <c r="GM414">
        <f t="shared" si="377"/>
        <v>12006.9</v>
      </c>
      <c r="GN414">
        <f t="shared" si="378"/>
        <v>0</v>
      </c>
      <c r="GO414">
        <f t="shared" si="379"/>
        <v>0</v>
      </c>
      <c r="GP414">
        <f t="shared" si="380"/>
        <v>12006.9</v>
      </c>
      <c r="GR414">
        <v>0</v>
      </c>
      <c r="GS414">
        <v>3</v>
      </c>
      <c r="GT414">
        <v>0</v>
      </c>
      <c r="GU414" t="s">
        <v>3</v>
      </c>
      <c r="GV414">
        <f t="shared" si="381"/>
        <v>0</v>
      </c>
      <c r="GW414">
        <v>1</v>
      </c>
      <c r="GX414">
        <f t="shared" si="382"/>
        <v>0</v>
      </c>
      <c r="HA414">
        <v>0</v>
      </c>
      <c r="HB414">
        <v>0</v>
      </c>
      <c r="HC414">
        <f t="shared" si="383"/>
        <v>0</v>
      </c>
      <c r="HE414" t="s">
        <v>3</v>
      </c>
      <c r="HF414" t="s">
        <v>3</v>
      </c>
      <c r="HM414" t="s">
        <v>3</v>
      </c>
      <c r="HN414" t="s">
        <v>3</v>
      </c>
      <c r="HO414" t="s">
        <v>3</v>
      </c>
      <c r="HP414" t="s">
        <v>3</v>
      </c>
      <c r="HQ414" t="s">
        <v>3</v>
      </c>
      <c r="IK414">
        <v>0</v>
      </c>
    </row>
    <row r="415" spans="1:245" x14ac:dyDescent="0.2">
      <c r="A415">
        <v>17</v>
      </c>
      <c r="B415">
        <v>1</v>
      </c>
      <c r="D415">
        <f>ROW(EtalonRes!A225)</f>
        <v>225</v>
      </c>
      <c r="E415" t="s">
        <v>329</v>
      </c>
      <c r="F415" t="s">
        <v>220</v>
      </c>
      <c r="G415" t="s">
        <v>330</v>
      </c>
      <c r="H415" t="s">
        <v>36</v>
      </c>
      <c r="I415">
        <f>ROUND(6*15,9)</f>
        <v>90</v>
      </c>
      <c r="J415">
        <v>0</v>
      </c>
      <c r="K415">
        <f>ROUND(6*15,9)</f>
        <v>90</v>
      </c>
      <c r="O415">
        <f t="shared" si="351"/>
        <v>66842.100000000006</v>
      </c>
      <c r="P415">
        <f t="shared" si="352"/>
        <v>153</v>
      </c>
      <c r="Q415">
        <f t="shared" si="353"/>
        <v>0</v>
      </c>
      <c r="R415">
        <f t="shared" si="354"/>
        <v>0</v>
      </c>
      <c r="S415">
        <f t="shared" si="355"/>
        <v>66689.100000000006</v>
      </c>
      <c r="T415">
        <f t="shared" si="356"/>
        <v>0</v>
      </c>
      <c r="U415">
        <f t="shared" si="357"/>
        <v>108</v>
      </c>
      <c r="V415">
        <f t="shared" si="358"/>
        <v>0</v>
      </c>
      <c r="W415">
        <f t="shared" si="359"/>
        <v>0</v>
      </c>
      <c r="X415">
        <f t="shared" si="360"/>
        <v>46682.37</v>
      </c>
      <c r="Y415">
        <f t="shared" si="361"/>
        <v>6668.91</v>
      </c>
      <c r="AA415">
        <v>1471718271</v>
      </c>
      <c r="AB415">
        <f t="shared" si="362"/>
        <v>742.69</v>
      </c>
      <c r="AC415">
        <f>ROUND((ES415),6)</f>
        <v>1.7</v>
      </c>
      <c r="AD415">
        <f>ROUND((((ET415)-(EU415))+AE415),6)</f>
        <v>0</v>
      </c>
      <c r="AE415">
        <f>ROUND((EU415),6)</f>
        <v>0</v>
      </c>
      <c r="AF415">
        <f>ROUND((EV415),6)</f>
        <v>740.99</v>
      </c>
      <c r="AG415">
        <f t="shared" si="363"/>
        <v>0</v>
      </c>
      <c r="AH415">
        <f>(EW415)</f>
        <v>1.2</v>
      </c>
      <c r="AI415">
        <f>(EX415)</f>
        <v>0</v>
      </c>
      <c r="AJ415">
        <f t="shared" si="364"/>
        <v>0</v>
      </c>
      <c r="AK415">
        <v>742.69</v>
      </c>
      <c r="AL415">
        <v>1.7</v>
      </c>
      <c r="AM415">
        <v>0</v>
      </c>
      <c r="AN415">
        <v>0</v>
      </c>
      <c r="AO415">
        <v>740.99</v>
      </c>
      <c r="AP415">
        <v>0</v>
      </c>
      <c r="AQ415">
        <v>1.2</v>
      </c>
      <c r="AR415">
        <v>0</v>
      </c>
      <c r="AS415">
        <v>0</v>
      </c>
      <c r="AT415">
        <v>70</v>
      </c>
      <c r="AU415">
        <v>10</v>
      </c>
      <c r="AV415">
        <v>1</v>
      </c>
      <c r="AW415">
        <v>1</v>
      </c>
      <c r="AZ415">
        <v>1</v>
      </c>
      <c r="BA415">
        <v>1</v>
      </c>
      <c r="BB415">
        <v>1</v>
      </c>
      <c r="BC415">
        <v>1</v>
      </c>
      <c r="BD415" t="s">
        <v>3</v>
      </c>
      <c r="BE415" t="s">
        <v>3</v>
      </c>
      <c r="BF415" t="s">
        <v>3</v>
      </c>
      <c r="BG415" t="s">
        <v>3</v>
      </c>
      <c r="BH415">
        <v>0</v>
      </c>
      <c r="BI415">
        <v>4</v>
      </c>
      <c r="BJ415" t="s">
        <v>222</v>
      </c>
      <c r="BM415">
        <v>0</v>
      </c>
      <c r="BN415">
        <v>0</v>
      </c>
      <c r="BO415" t="s">
        <v>3</v>
      </c>
      <c r="BP415">
        <v>0</v>
      </c>
      <c r="BQ415">
        <v>1</v>
      </c>
      <c r="BR415">
        <v>0</v>
      </c>
      <c r="BS415">
        <v>1</v>
      </c>
      <c r="BT415">
        <v>1</v>
      </c>
      <c r="BU415">
        <v>1</v>
      </c>
      <c r="BV415">
        <v>1</v>
      </c>
      <c r="BW415">
        <v>1</v>
      </c>
      <c r="BX415">
        <v>1</v>
      </c>
      <c r="BY415" t="s">
        <v>3</v>
      </c>
      <c r="BZ415">
        <v>70</v>
      </c>
      <c r="CA415">
        <v>10</v>
      </c>
      <c r="CB415" t="s">
        <v>3</v>
      </c>
      <c r="CE415">
        <v>0</v>
      </c>
      <c r="CF415">
        <v>0</v>
      </c>
      <c r="CG415">
        <v>0</v>
      </c>
      <c r="CM415">
        <v>0</v>
      </c>
      <c r="CN415" t="s">
        <v>3</v>
      </c>
      <c r="CO415">
        <v>0</v>
      </c>
      <c r="CP415">
        <f t="shared" si="365"/>
        <v>66842.100000000006</v>
      </c>
      <c r="CQ415">
        <f t="shared" si="366"/>
        <v>1.7</v>
      </c>
      <c r="CR415">
        <f>((((ET415)*BB415-(EU415)*BS415)+AE415*BS415)*AV415)</f>
        <v>0</v>
      </c>
      <c r="CS415">
        <f t="shared" si="367"/>
        <v>0</v>
      </c>
      <c r="CT415">
        <f t="shared" si="368"/>
        <v>740.99</v>
      </c>
      <c r="CU415">
        <f t="shared" si="369"/>
        <v>0</v>
      </c>
      <c r="CV415">
        <f t="shared" si="370"/>
        <v>1.2</v>
      </c>
      <c r="CW415">
        <f t="shared" si="371"/>
        <v>0</v>
      </c>
      <c r="CX415">
        <f t="shared" si="372"/>
        <v>0</v>
      </c>
      <c r="CY415">
        <f t="shared" si="373"/>
        <v>46682.37</v>
      </c>
      <c r="CZ415">
        <f t="shared" si="374"/>
        <v>6668.91</v>
      </c>
      <c r="DC415" t="s">
        <v>3</v>
      </c>
      <c r="DD415" t="s">
        <v>3</v>
      </c>
      <c r="DE415" t="s">
        <v>3</v>
      </c>
      <c r="DF415" t="s">
        <v>3</v>
      </c>
      <c r="DG415" t="s">
        <v>3</v>
      </c>
      <c r="DH415" t="s">
        <v>3</v>
      </c>
      <c r="DI415" t="s">
        <v>3</v>
      </c>
      <c r="DJ415" t="s">
        <v>3</v>
      </c>
      <c r="DK415" t="s">
        <v>3</v>
      </c>
      <c r="DL415" t="s">
        <v>3</v>
      </c>
      <c r="DM415" t="s">
        <v>3</v>
      </c>
      <c r="DN415">
        <v>0</v>
      </c>
      <c r="DO415">
        <v>0</v>
      </c>
      <c r="DP415">
        <v>1</v>
      </c>
      <c r="DQ415">
        <v>1</v>
      </c>
      <c r="DU415">
        <v>16987630</v>
      </c>
      <c r="DV415" t="s">
        <v>36</v>
      </c>
      <c r="DW415" t="s">
        <v>36</v>
      </c>
      <c r="DX415">
        <v>1</v>
      </c>
      <c r="DZ415" t="s">
        <v>3</v>
      </c>
      <c r="EA415" t="s">
        <v>3</v>
      </c>
      <c r="EB415" t="s">
        <v>3</v>
      </c>
      <c r="EC415" t="s">
        <v>3</v>
      </c>
      <c r="EE415">
        <v>1441815344</v>
      </c>
      <c r="EF415">
        <v>1</v>
      </c>
      <c r="EG415" t="s">
        <v>21</v>
      </c>
      <c r="EH415">
        <v>0</v>
      </c>
      <c r="EI415" t="s">
        <v>3</v>
      </c>
      <c r="EJ415">
        <v>4</v>
      </c>
      <c r="EK415">
        <v>0</v>
      </c>
      <c r="EL415" t="s">
        <v>22</v>
      </c>
      <c r="EM415" t="s">
        <v>23</v>
      </c>
      <c r="EO415" t="s">
        <v>3</v>
      </c>
      <c r="EQ415">
        <v>0</v>
      </c>
      <c r="ER415">
        <v>742.69</v>
      </c>
      <c r="ES415">
        <v>1.7</v>
      </c>
      <c r="ET415">
        <v>0</v>
      </c>
      <c r="EU415">
        <v>0</v>
      </c>
      <c r="EV415">
        <v>740.99</v>
      </c>
      <c r="EW415">
        <v>1.2</v>
      </c>
      <c r="EX415">
        <v>0</v>
      </c>
      <c r="EY415">
        <v>0</v>
      </c>
      <c r="FQ415">
        <v>0</v>
      </c>
      <c r="FR415">
        <f t="shared" si="375"/>
        <v>0</v>
      </c>
      <c r="FS415">
        <v>0</v>
      </c>
      <c r="FX415">
        <v>70</v>
      </c>
      <c r="FY415">
        <v>10</v>
      </c>
      <c r="GA415" t="s">
        <v>3</v>
      </c>
      <c r="GD415">
        <v>0</v>
      </c>
      <c r="GF415">
        <v>-1786166374</v>
      </c>
      <c r="GG415">
        <v>2</v>
      </c>
      <c r="GH415">
        <v>1</v>
      </c>
      <c r="GI415">
        <v>-2</v>
      </c>
      <c r="GJ415">
        <v>0</v>
      </c>
      <c r="GK415">
        <f>ROUND(R415*(R12)/100,2)</f>
        <v>0</v>
      </c>
      <c r="GL415">
        <f t="shared" si="376"/>
        <v>0</v>
      </c>
      <c r="GM415">
        <f t="shared" si="377"/>
        <v>120193.38</v>
      </c>
      <c r="GN415">
        <f t="shared" si="378"/>
        <v>0</v>
      </c>
      <c r="GO415">
        <f t="shared" si="379"/>
        <v>0</v>
      </c>
      <c r="GP415">
        <f t="shared" si="380"/>
        <v>120193.38</v>
      </c>
      <c r="GR415">
        <v>0</v>
      </c>
      <c r="GS415">
        <v>3</v>
      </c>
      <c r="GT415">
        <v>0</v>
      </c>
      <c r="GU415" t="s">
        <v>3</v>
      </c>
      <c r="GV415">
        <f t="shared" si="381"/>
        <v>0</v>
      </c>
      <c r="GW415">
        <v>1</v>
      </c>
      <c r="GX415">
        <f t="shared" si="382"/>
        <v>0</v>
      </c>
      <c r="HA415">
        <v>0</v>
      </c>
      <c r="HB415">
        <v>0</v>
      </c>
      <c r="HC415">
        <f t="shared" si="383"/>
        <v>0</v>
      </c>
      <c r="HE415" t="s">
        <v>3</v>
      </c>
      <c r="HF415" t="s">
        <v>3</v>
      </c>
      <c r="HM415" t="s">
        <v>3</v>
      </c>
      <c r="HN415" t="s">
        <v>3</v>
      </c>
      <c r="HO415" t="s">
        <v>3</v>
      </c>
      <c r="HP415" t="s">
        <v>3</v>
      </c>
      <c r="HQ415" t="s">
        <v>3</v>
      </c>
      <c r="IK415">
        <v>0</v>
      </c>
    </row>
    <row r="416" spans="1:245" x14ac:dyDescent="0.2">
      <c r="A416">
        <v>17</v>
      </c>
      <c r="B416">
        <v>1</v>
      </c>
      <c r="D416">
        <f>ROW(EtalonRes!A227)</f>
        <v>227</v>
      </c>
      <c r="E416" t="s">
        <v>3</v>
      </c>
      <c r="F416" t="s">
        <v>216</v>
      </c>
      <c r="G416" t="s">
        <v>331</v>
      </c>
      <c r="H416" t="s">
        <v>36</v>
      </c>
      <c r="I416">
        <f>ROUND(6*15,9)</f>
        <v>90</v>
      </c>
      <c r="J416">
        <v>0</v>
      </c>
      <c r="K416">
        <f>ROUND(6*15,9)</f>
        <v>90</v>
      </c>
      <c r="O416">
        <f t="shared" si="351"/>
        <v>6671.7</v>
      </c>
      <c r="P416">
        <f t="shared" si="352"/>
        <v>2.7</v>
      </c>
      <c r="Q416">
        <f t="shared" si="353"/>
        <v>0</v>
      </c>
      <c r="R416">
        <f t="shared" si="354"/>
        <v>0</v>
      </c>
      <c r="S416">
        <f t="shared" si="355"/>
        <v>6669</v>
      </c>
      <c r="T416">
        <f t="shared" si="356"/>
        <v>0</v>
      </c>
      <c r="U416">
        <f t="shared" si="357"/>
        <v>10.799999999999999</v>
      </c>
      <c r="V416">
        <f t="shared" si="358"/>
        <v>0</v>
      </c>
      <c r="W416">
        <f t="shared" si="359"/>
        <v>0</v>
      </c>
      <c r="X416">
        <f t="shared" si="360"/>
        <v>4668.3</v>
      </c>
      <c r="Y416">
        <f t="shared" si="361"/>
        <v>666.9</v>
      </c>
      <c r="AA416">
        <v>-1</v>
      </c>
      <c r="AB416">
        <f t="shared" si="362"/>
        <v>74.13</v>
      </c>
      <c r="AC416">
        <f>ROUND(((ES416*3)),6)</f>
        <v>0.03</v>
      </c>
      <c r="AD416">
        <f>ROUND(((((ET416*3))-((EU416*3)))+AE416),6)</f>
        <v>0</v>
      </c>
      <c r="AE416">
        <f>ROUND(((EU416*3)),6)</f>
        <v>0</v>
      </c>
      <c r="AF416">
        <f>ROUND(((EV416*3)),6)</f>
        <v>74.099999999999994</v>
      </c>
      <c r="AG416">
        <f t="shared" si="363"/>
        <v>0</v>
      </c>
      <c r="AH416">
        <f>((EW416*3))</f>
        <v>0.12</v>
      </c>
      <c r="AI416">
        <f>((EX416*3))</f>
        <v>0</v>
      </c>
      <c r="AJ416">
        <f t="shared" si="364"/>
        <v>0</v>
      </c>
      <c r="AK416">
        <v>24.71</v>
      </c>
      <c r="AL416">
        <v>0.01</v>
      </c>
      <c r="AM416">
        <v>0</v>
      </c>
      <c r="AN416">
        <v>0</v>
      </c>
      <c r="AO416">
        <v>24.7</v>
      </c>
      <c r="AP416">
        <v>0</v>
      </c>
      <c r="AQ416">
        <v>0.04</v>
      </c>
      <c r="AR416">
        <v>0</v>
      </c>
      <c r="AS416">
        <v>0</v>
      </c>
      <c r="AT416">
        <v>70</v>
      </c>
      <c r="AU416">
        <v>10</v>
      </c>
      <c r="AV416">
        <v>1</v>
      </c>
      <c r="AW416">
        <v>1</v>
      </c>
      <c r="AZ416">
        <v>1</v>
      </c>
      <c r="BA416">
        <v>1</v>
      </c>
      <c r="BB416">
        <v>1</v>
      </c>
      <c r="BC416">
        <v>1</v>
      </c>
      <c r="BD416" t="s">
        <v>3</v>
      </c>
      <c r="BE416" t="s">
        <v>3</v>
      </c>
      <c r="BF416" t="s">
        <v>3</v>
      </c>
      <c r="BG416" t="s">
        <v>3</v>
      </c>
      <c r="BH416">
        <v>0</v>
      </c>
      <c r="BI416">
        <v>4</v>
      </c>
      <c r="BJ416" t="s">
        <v>218</v>
      </c>
      <c r="BM416">
        <v>0</v>
      </c>
      <c r="BN416">
        <v>0</v>
      </c>
      <c r="BO416" t="s">
        <v>3</v>
      </c>
      <c r="BP416">
        <v>0</v>
      </c>
      <c r="BQ416">
        <v>1</v>
      </c>
      <c r="BR416">
        <v>0</v>
      </c>
      <c r="BS416">
        <v>1</v>
      </c>
      <c r="BT416">
        <v>1</v>
      </c>
      <c r="BU416">
        <v>1</v>
      </c>
      <c r="BV416">
        <v>1</v>
      </c>
      <c r="BW416">
        <v>1</v>
      </c>
      <c r="BX416">
        <v>1</v>
      </c>
      <c r="BY416" t="s">
        <v>3</v>
      </c>
      <c r="BZ416">
        <v>70</v>
      </c>
      <c r="CA416">
        <v>10</v>
      </c>
      <c r="CB416" t="s">
        <v>3</v>
      </c>
      <c r="CE416">
        <v>0</v>
      </c>
      <c r="CF416">
        <v>0</v>
      </c>
      <c r="CG416">
        <v>0</v>
      </c>
      <c r="CM416">
        <v>0</v>
      </c>
      <c r="CN416" t="s">
        <v>3</v>
      </c>
      <c r="CO416">
        <v>0</v>
      </c>
      <c r="CP416">
        <f t="shared" si="365"/>
        <v>6671.7</v>
      </c>
      <c r="CQ416">
        <f t="shared" si="366"/>
        <v>0.03</v>
      </c>
      <c r="CR416">
        <f>(((((ET416*3))*BB416-((EU416*3))*BS416)+AE416*BS416)*AV416)</f>
        <v>0</v>
      </c>
      <c r="CS416">
        <f t="shared" si="367"/>
        <v>0</v>
      </c>
      <c r="CT416">
        <f t="shared" si="368"/>
        <v>74.099999999999994</v>
      </c>
      <c r="CU416">
        <f t="shared" si="369"/>
        <v>0</v>
      </c>
      <c r="CV416">
        <f t="shared" si="370"/>
        <v>0.12</v>
      </c>
      <c r="CW416">
        <f t="shared" si="371"/>
        <v>0</v>
      </c>
      <c r="CX416">
        <f t="shared" si="372"/>
        <v>0</v>
      </c>
      <c r="CY416">
        <f t="shared" si="373"/>
        <v>4668.3</v>
      </c>
      <c r="CZ416">
        <f t="shared" si="374"/>
        <v>666.9</v>
      </c>
      <c r="DC416" t="s">
        <v>3</v>
      </c>
      <c r="DD416" t="s">
        <v>163</v>
      </c>
      <c r="DE416" t="s">
        <v>163</v>
      </c>
      <c r="DF416" t="s">
        <v>163</v>
      </c>
      <c r="DG416" t="s">
        <v>163</v>
      </c>
      <c r="DH416" t="s">
        <v>3</v>
      </c>
      <c r="DI416" t="s">
        <v>163</v>
      </c>
      <c r="DJ416" t="s">
        <v>163</v>
      </c>
      <c r="DK416" t="s">
        <v>3</v>
      </c>
      <c r="DL416" t="s">
        <v>3</v>
      </c>
      <c r="DM416" t="s">
        <v>3</v>
      </c>
      <c r="DN416">
        <v>0</v>
      </c>
      <c r="DO416">
        <v>0</v>
      </c>
      <c r="DP416">
        <v>1</v>
      </c>
      <c r="DQ416">
        <v>1</v>
      </c>
      <c r="DU416">
        <v>16987630</v>
      </c>
      <c r="DV416" t="s">
        <v>36</v>
      </c>
      <c r="DW416" t="s">
        <v>36</v>
      </c>
      <c r="DX416">
        <v>1</v>
      </c>
      <c r="DZ416" t="s">
        <v>3</v>
      </c>
      <c r="EA416" t="s">
        <v>3</v>
      </c>
      <c r="EB416" t="s">
        <v>3</v>
      </c>
      <c r="EC416" t="s">
        <v>3</v>
      </c>
      <c r="EE416">
        <v>1441815344</v>
      </c>
      <c r="EF416">
        <v>1</v>
      </c>
      <c r="EG416" t="s">
        <v>21</v>
      </c>
      <c r="EH416">
        <v>0</v>
      </c>
      <c r="EI416" t="s">
        <v>3</v>
      </c>
      <c r="EJ416">
        <v>4</v>
      </c>
      <c r="EK416">
        <v>0</v>
      </c>
      <c r="EL416" t="s">
        <v>22</v>
      </c>
      <c r="EM416" t="s">
        <v>23</v>
      </c>
      <c r="EO416" t="s">
        <v>3</v>
      </c>
      <c r="EQ416">
        <v>1024</v>
      </c>
      <c r="ER416">
        <v>24.71</v>
      </c>
      <c r="ES416">
        <v>0.01</v>
      </c>
      <c r="ET416">
        <v>0</v>
      </c>
      <c r="EU416">
        <v>0</v>
      </c>
      <c r="EV416">
        <v>24.7</v>
      </c>
      <c r="EW416">
        <v>0.04</v>
      </c>
      <c r="EX416">
        <v>0</v>
      </c>
      <c r="EY416">
        <v>0</v>
      </c>
      <c r="FQ416">
        <v>0</v>
      </c>
      <c r="FR416">
        <f t="shared" si="375"/>
        <v>0</v>
      </c>
      <c r="FS416">
        <v>0</v>
      </c>
      <c r="FX416">
        <v>70</v>
      </c>
      <c r="FY416">
        <v>10</v>
      </c>
      <c r="GA416" t="s">
        <v>3</v>
      </c>
      <c r="GD416">
        <v>0</v>
      </c>
      <c r="GF416">
        <v>-1630540516</v>
      </c>
      <c r="GG416">
        <v>2</v>
      </c>
      <c r="GH416">
        <v>1</v>
      </c>
      <c r="GI416">
        <v>-2</v>
      </c>
      <c r="GJ416">
        <v>0</v>
      </c>
      <c r="GK416">
        <f>ROUND(R416*(R12)/100,2)</f>
        <v>0</v>
      </c>
      <c r="GL416">
        <f t="shared" si="376"/>
        <v>0</v>
      </c>
      <c r="GM416">
        <f t="shared" si="377"/>
        <v>12006.9</v>
      </c>
      <c r="GN416">
        <f t="shared" si="378"/>
        <v>0</v>
      </c>
      <c r="GO416">
        <f t="shared" si="379"/>
        <v>0</v>
      </c>
      <c r="GP416">
        <f t="shared" si="380"/>
        <v>12006.9</v>
      </c>
      <c r="GR416">
        <v>0</v>
      </c>
      <c r="GS416">
        <v>3</v>
      </c>
      <c r="GT416">
        <v>0</v>
      </c>
      <c r="GU416" t="s">
        <v>3</v>
      </c>
      <c r="GV416">
        <f t="shared" si="381"/>
        <v>0</v>
      </c>
      <c r="GW416">
        <v>1</v>
      </c>
      <c r="GX416">
        <f t="shared" si="382"/>
        <v>0</v>
      </c>
      <c r="HA416">
        <v>0</v>
      </c>
      <c r="HB416">
        <v>0</v>
      </c>
      <c r="HC416">
        <f t="shared" si="383"/>
        <v>0</v>
      </c>
      <c r="HE416" t="s">
        <v>3</v>
      </c>
      <c r="HF416" t="s">
        <v>3</v>
      </c>
      <c r="HM416" t="s">
        <v>3</v>
      </c>
      <c r="HN416" t="s">
        <v>3</v>
      </c>
      <c r="HO416" t="s">
        <v>3</v>
      </c>
      <c r="HP416" t="s">
        <v>3</v>
      </c>
      <c r="HQ416" t="s">
        <v>3</v>
      </c>
      <c r="IK416">
        <v>0</v>
      </c>
    </row>
    <row r="417" spans="1:245" x14ac:dyDescent="0.2">
      <c r="A417">
        <v>17</v>
      </c>
      <c r="B417">
        <v>1</v>
      </c>
      <c r="D417">
        <f>ROW(EtalonRes!A230)</f>
        <v>230</v>
      </c>
      <c r="E417" t="s">
        <v>332</v>
      </c>
      <c r="F417" t="s">
        <v>220</v>
      </c>
      <c r="G417" t="s">
        <v>333</v>
      </c>
      <c r="H417" t="s">
        <v>36</v>
      </c>
      <c r="I417">
        <f>ROUND(6*15,9)</f>
        <v>90</v>
      </c>
      <c r="J417">
        <v>0</v>
      </c>
      <c r="K417">
        <f>ROUND(6*15,9)</f>
        <v>90</v>
      </c>
      <c r="O417">
        <f t="shared" si="351"/>
        <v>66842.100000000006</v>
      </c>
      <c r="P417">
        <f t="shared" si="352"/>
        <v>153</v>
      </c>
      <c r="Q417">
        <f t="shared" si="353"/>
        <v>0</v>
      </c>
      <c r="R417">
        <f t="shared" si="354"/>
        <v>0</v>
      </c>
      <c r="S417">
        <f t="shared" si="355"/>
        <v>66689.100000000006</v>
      </c>
      <c r="T417">
        <f t="shared" si="356"/>
        <v>0</v>
      </c>
      <c r="U417">
        <f t="shared" si="357"/>
        <v>108</v>
      </c>
      <c r="V417">
        <f t="shared" si="358"/>
        <v>0</v>
      </c>
      <c r="W417">
        <f t="shared" si="359"/>
        <v>0</v>
      </c>
      <c r="X417">
        <f t="shared" si="360"/>
        <v>46682.37</v>
      </c>
      <c r="Y417">
        <f t="shared" si="361"/>
        <v>6668.91</v>
      </c>
      <c r="AA417">
        <v>1471718271</v>
      </c>
      <c r="AB417">
        <f t="shared" si="362"/>
        <v>742.69</v>
      </c>
      <c r="AC417">
        <f>ROUND((ES417),6)</f>
        <v>1.7</v>
      </c>
      <c r="AD417">
        <f>ROUND((((ET417)-(EU417))+AE417),6)</f>
        <v>0</v>
      </c>
      <c r="AE417">
        <f>ROUND((EU417),6)</f>
        <v>0</v>
      </c>
      <c r="AF417">
        <f>ROUND((EV417),6)</f>
        <v>740.99</v>
      </c>
      <c r="AG417">
        <f t="shared" si="363"/>
        <v>0</v>
      </c>
      <c r="AH417">
        <f>(EW417)</f>
        <v>1.2</v>
      </c>
      <c r="AI417">
        <f>(EX417)</f>
        <v>0</v>
      </c>
      <c r="AJ417">
        <f t="shared" si="364"/>
        <v>0</v>
      </c>
      <c r="AK417">
        <v>742.69</v>
      </c>
      <c r="AL417">
        <v>1.7</v>
      </c>
      <c r="AM417">
        <v>0</v>
      </c>
      <c r="AN417">
        <v>0</v>
      </c>
      <c r="AO417">
        <v>740.99</v>
      </c>
      <c r="AP417">
        <v>0</v>
      </c>
      <c r="AQ417">
        <v>1.2</v>
      </c>
      <c r="AR417">
        <v>0</v>
      </c>
      <c r="AS417">
        <v>0</v>
      </c>
      <c r="AT417">
        <v>70</v>
      </c>
      <c r="AU417">
        <v>10</v>
      </c>
      <c r="AV417">
        <v>1</v>
      </c>
      <c r="AW417">
        <v>1</v>
      </c>
      <c r="AZ417">
        <v>1</v>
      </c>
      <c r="BA417">
        <v>1</v>
      </c>
      <c r="BB417">
        <v>1</v>
      </c>
      <c r="BC417">
        <v>1</v>
      </c>
      <c r="BD417" t="s">
        <v>3</v>
      </c>
      <c r="BE417" t="s">
        <v>3</v>
      </c>
      <c r="BF417" t="s">
        <v>3</v>
      </c>
      <c r="BG417" t="s">
        <v>3</v>
      </c>
      <c r="BH417">
        <v>0</v>
      </c>
      <c r="BI417">
        <v>4</v>
      </c>
      <c r="BJ417" t="s">
        <v>222</v>
      </c>
      <c r="BM417">
        <v>0</v>
      </c>
      <c r="BN417">
        <v>0</v>
      </c>
      <c r="BO417" t="s">
        <v>3</v>
      </c>
      <c r="BP417">
        <v>0</v>
      </c>
      <c r="BQ417">
        <v>1</v>
      </c>
      <c r="BR417">
        <v>0</v>
      </c>
      <c r="BS417">
        <v>1</v>
      </c>
      <c r="BT417">
        <v>1</v>
      </c>
      <c r="BU417">
        <v>1</v>
      </c>
      <c r="BV417">
        <v>1</v>
      </c>
      <c r="BW417">
        <v>1</v>
      </c>
      <c r="BX417">
        <v>1</v>
      </c>
      <c r="BY417" t="s">
        <v>3</v>
      </c>
      <c r="BZ417">
        <v>70</v>
      </c>
      <c r="CA417">
        <v>10</v>
      </c>
      <c r="CB417" t="s">
        <v>3</v>
      </c>
      <c r="CE417">
        <v>0</v>
      </c>
      <c r="CF417">
        <v>0</v>
      </c>
      <c r="CG417">
        <v>0</v>
      </c>
      <c r="CM417">
        <v>0</v>
      </c>
      <c r="CN417" t="s">
        <v>3</v>
      </c>
      <c r="CO417">
        <v>0</v>
      </c>
      <c r="CP417">
        <f t="shared" si="365"/>
        <v>66842.100000000006</v>
      </c>
      <c r="CQ417">
        <f t="shared" si="366"/>
        <v>1.7</v>
      </c>
      <c r="CR417">
        <f>((((ET417)*BB417-(EU417)*BS417)+AE417*BS417)*AV417)</f>
        <v>0</v>
      </c>
      <c r="CS417">
        <f t="shared" si="367"/>
        <v>0</v>
      </c>
      <c r="CT417">
        <f t="shared" si="368"/>
        <v>740.99</v>
      </c>
      <c r="CU417">
        <f t="shared" si="369"/>
        <v>0</v>
      </c>
      <c r="CV417">
        <f t="shared" si="370"/>
        <v>1.2</v>
      </c>
      <c r="CW417">
        <f t="shared" si="371"/>
        <v>0</v>
      </c>
      <c r="CX417">
        <f t="shared" si="372"/>
        <v>0</v>
      </c>
      <c r="CY417">
        <f t="shared" si="373"/>
        <v>46682.37</v>
      </c>
      <c r="CZ417">
        <f t="shared" si="374"/>
        <v>6668.91</v>
      </c>
      <c r="DC417" t="s">
        <v>3</v>
      </c>
      <c r="DD417" t="s">
        <v>3</v>
      </c>
      <c r="DE417" t="s">
        <v>3</v>
      </c>
      <c r="DF417" t="s">
        <v>3</v>
      </c>
      <c r="DG417" t="s">
        <v>3</v>
      </c>
      <c r="DH417" t="s">
        <v>3</v>
      </c>
      <c r="DI417" t="s">
        <v>3</v>
      </c>
      <c r="DJ417" t="s">
        <v>3</v>
      </c>
      <c r="DK417" t="s">
        <v>3</v>
      </c>
      <c r="DL417" t="s">
        <v>3</v>
      </c>
      <c r="DM417" t="s">
        <v>3</v>
      </c>
      <c r="DN417">
        <v>0</v>
      </c>
      <c r="DO417">
        <v>0</v>
      </c>
      <c r="DP417">
        <v>1</v>
      </c>
      <c r="DQ417">
        <v>1</v>
      </c>
      <c r="DU417">
        <v>16987630</v>
      </c>
      <c r="DV417" t="s">
        <v>36</v>
      </c>
      <c r="DW417" t="s">
        <v>36</v>
      </c>
      <c r="DX417">
        <v>1</v>
      </c>
      <c r="DZ417" t="s">
        <v>3</v>
      </c>
      <c r="EA417" t="s">
        <v>3</v>
      </c>
      <c r="EB417" t="s">
        <v>3</v>
      </c>
      <c r="EC417" t="s">
        <v>3</v>
      </c>
      <c r="EE417">
        <v>1441815344</v>
      </c>
      <c r="EF417">
        <v>1</v>
      </c>
      <c r="EG417" t="s">
        <v>21</v>
      </c>
      <c r="EH417">
        <v>0</v>
      </c>
      <c r="EI417" t="s">
        <v>3</v>
      </c>
      <c r="EJ417">
        <v>4</v>
      </c>
      <c r="EK417">
        <v>0</v>
      </c>
      <c r="EL417" t="s">
        <v>22</v>
      </c>
      <c r="EM417" t="s">
        <v>23</v>
      </c>
      <c r="EO417" t="s">
        <v>3</v>
      </c>
      <c r="EQ417">
        <v>0</v>
      </c>
      <c r="ER417">
        <v>742.69</v>
      </c>
      <c r="ES417">
        <v>1.7</v>
      </c>
      <c r="ET417">
        <v>0</v>
      </c>
      <c r="EU417">
        <v>0</v>
      </c>
      <c r="EV417">
        <v>740.99</v>
      </c>
      <c r="EW417">
        <v>1.2</v>
      </c>
      <c r="EX417">
        <v>0</v>
      </c>
      <c r="EY417">
        <v>0</v>
      </c>
      <c r="FQ417">
        <v>0</v>
      </c>
      <c r="FR417">
        <f t="shared" si="375"/>
        <v>0</v>
      </c>
      <c r="FS417">
        <v>0</v>
      </c>
      <c r="FX417">
        <v>70</v>
      </c>
      <c r="FY417">
        <v>10</v>
      </c>
      <c r="GA417" t="s">
        <v>3</v>
      </c>
      <c r="GD417">
        <v>0</v>
      </c>
      <c r="GF417">
        <v>-2040258935</v>
      </c>
      <c r="GG417">
        <v>2</v>
      </c>
      <c r="GH417">
        <v>1</v>
      </c>
      <c r="GI417">
        <v>-2</v>
      </c>
      <c r="GJ417">
        <v>0</v>
      </c>
      <c r="GK417">
        <f>ROUND(R417*(R12)/100,2)</f>
        <v>0</v>
      </c>
      <c r="GL417">
        <f t="shared" si="376"/>
        <v>0</v>
      </c>
      <c r="GM417">
        <f t="shared" si="377"/>
        <v>120193.38</v>
      </c>
      <c r="GN417">
        <f t="shared" si="378"/>
        <v>0</v>
      </c>
      <c r="GO417">
        <f t="shared" si="379"/>
        <v>0</v>
      </c>
      <c r="GP417">
        <f t="shared" si="380"/>
        <v>120193.38</v>
      </c>
      <c r="GR417">
        <v>0</v>
      </c>
      <c r="GS417">
        <v>3</v>
      </c>
      <c r="GT417">
        <v>0</v>
      </c>
      <c r="GU417" t="s">
        <v>3</v>
      </c>
      <c r="GV417">
        <f t="shared" si="381"/>
        <v>0</v>
      </c>
      <c r="GW417">
        <v>1</v>
      </c>
      <c r="GX417">
        <f t="shared" si="382"/>
        <v>0</v>
      </c>
      <c r="HA417">
        <v>0</v>
      </c>
      <c r="HB417">
        <v>0</v>
      </c>
      <c r="HC417">
        <f t="shared" si="383"/>
        <v>0</v>
      </c>
      <c r="HE417" t="s">
        <v>3</v>
      </c>
      <c r="HF417" t="s">
        <v>3</v>
      </c>
      <c r="HM417" t="s">
        <v>3</v>
      </c>
      <c r="HN417" t="s">
        <v>3</v>
      </c>
      <c r="HO417" t="s">
        <v>3</v>
      </c>
      <c r="HP417" t="s">
        <v>3</v>
      </c>
      <c r="HQ417" t="s">
        <v>3</v>
      </c>
      <c r="IK417">
        <v>0</v>
      </c>
    </row>
    <row r="418" spans="1:245" x14ac:dyDescent="0.2">
      <c r="A418">
        <v>17</v>
      </c>
      <c r="B418">
        <v>1</v>
      </c>
      <c r="D418">
        <f>ROW(EtalonRes!A233)</f>
        <v>233</v>
      </c>
      <c r="E418" t="s">
        <v>334</v>
      </c>
      <c r="F418" t="s">
        <v>213</v>
      </c>
      <c r="G418" t="s">
        <v>224</v>
      </c>
      <c r="H418" t="s">
        <v>36</v>
      </c>
      <c r="I418">
        <f>ROUND(2*15,9)</f>
        <v>30</v>
      </c>
      <c r="J418">
        <v>0</v>
      </c>
      <c r="K418">
        <f>ROUND(2*15,9)</f>
        <v>30</v>
      </c>
      <c r="O418">
        <f t="shared" si="351"/>
        <v>13045.8</v>
      </c>
      <c r="P418">
        <f t="shared" si="352"/>
        <v>271.8</v>
      </c>
      <c r="Q418">
        <f t="shared" si="353"/>
        <v>0</v>
      </c>
      <c r="R418">
        <f t="shared" si="354"/>
        <v>0</v>
      </c>
      <c r="S418">
        <f t="shared" si="355"/>
        <v>12774</v>
      </c>
      <c r="T418">
        <f t="shared" si="356"/>
        <v>0</v>
      </c>
      <c r="U418">
        <f t="shared" si="357"/>
        <v>18</v>
      </c>
      <c r="V418">
        <f t="shared" si="358"/>
        <v>0</v>
      </c>
      <c r="W418">
        <f t="shared" si="359"/>
        <v>0</v>
      </c>
      <c r="X418">
        <f t="shared" si="360"/>
        <v>8941.7999999999993</v>
      </c>
      <c r="Y418">
        <f t="shared" si="361"/>
        <v>1277.4000000000001</v>
      </c>
      <c r="AA418">
        <v>1471718271</v>
      </c>
      <c r="AB418">
        <f t="shared" si="362"/>
        <v>434.86</v>
      </c>
      <c r="AC418">
        <f>ROUND(((ES418*2)),6)</f>
        <v>9.06</v>
      </c>
      <c r="AD418">
        <f>ROUND(((((ET418*2))-((EU418*2)))+AE418),6)</f>
        <v>0</v>
      </c>
      <c r="AE418">
        <f>ROUND(((EU418*2)),6)</f>
        <v>0</v>
      </c>
      <c r="AF418">
        <f>ROUND(((EV418*2)),6)</f>
        <v>425.8</v>
      </c>
      <c r="AG418">
        <f t="shared" si="363"/>
        <v>0</v>
      </c>
      <c r="AH418">
        <f>((EW418*2))</f>
        <v>0.6</v>
      </c>
      <c r="AI418">
        <f>((EX418*2))</f>
        <v>0</v>
      </c>
      <c r="AJ418">
        <f t="shared" si="364"/>
        <v>0</v>
      </c>
      <c r="AK418">
        <v>217.43</v>
      </c>
      <c r="AL418">
        <v>4.53</v>
      </c>
      <c r="AM418">
        <v>0</v>
      </c>
      <c r="AN418">
        <v>0</v>
      </c>
      <c r="AO418">
        <v>212.9</v>
      </c>
      <c r="AP418">
        <v>0</v>
      </c>
      <c r="AQ418">
        <v>0.3</v>
      </c>
      <c r="AR418">
        <v>0</v>
      </c>
      <c r="AS418">
        <v>0</v>
      </c>
      <c r="AT418">
        <v>70</v>
      </c>
      <c r="AU418">
        <v>10</v>
      </c>
      <c r="AV418">
        <v>1</v>
      </c>
      <c r="AW418">
        <v>1</v>
      </c>
      <c r="AZ418">
        <v>1</v>
      </c>
      <c r="BA418">
        <v>1</v>
      </c>
      <c r="BB418">
        <v>1</v>
      </c>
      <c r="BC418">
        <v>1</v>
      </c>
      <c r="BD418" t="s">
        <v>3</v>
      </c>
      <c r="BE418" t="s">
        <v>3</v>
      </c>
      <c r="BF418" t="s">
        <v>3</v>
      </c>
      <c r="BG418" t="s">
        <v>3</v>
      </c>
      <c r="BH418">
        <v>0</v>
      </c>
      <c r="BI418">
        <v>4</v>
      </c>
      <c r="BJ418" t="s">
        <v>215</v>
      </c>
      <c r="BM418">
        <v>0</v>
      </c>
      <c r="BN418">
        <v>0</v>
      </c>
      <c r="BO418" t="s">
        <v>3</v>
      </c>
      <c r="BP418">
        <v>0</v>
      </c>
      <c r="BQ418">
        <v>1</v>
      </c>
      <c r="BR418">
        <v>0</v>
      </c>
      <c r="BS418">
        <v>1</v>
      </c>
      <c r="BT418">
        <v>1</v>
      </c>
      <c r="BU418">
        <v>1</v>
      </c>
      <c r="BV418">
        <v>1</v>
      </c>
      <c r="BW418">
        <v>1</v>
      </c>
      <c r="BX418">
        <v>1</v>
      </c>
      <c r="BY418" t="s">
        <v>3</v>
      </c>
      <c r="BZ418">
        <v>70</v>
      </c>
      <c r="CA418">
        <v>10</v>
      </c>
      <c r="CB418" t="s">
        <v>3</v>
      </c>
      <c r="CE418">
        <v>0</v>
      </c>
      <c r="CF418">
        <v>0</v>
      </c>
      <c r="CG418">
        <v>0</v>
      </c>
      <c r="CM418">
        <v>0</v>
      </c>
      <c r="CN418" t="s">
        <v>3</v>
      </c>
      <c r="CO418">
        <v>0</v>
      </c>
      <c r="CP418">
        <f t="shared" si="365"/>
        <v>13045.8</v>
      </c>
      <c r="CQ418">
        <f t="shared" si="366"/>
        <v>9.06</v>
      </c>
      <c r="CR418">
        <f>(((((ET418*2))*BB418-((EU418*2))*BS418)+AE418*BS418)*AV418)</f>
        <v>0</v>
      </c>
      <c r="CS418">
        <f t="shared" si="367"/>
        <v>0</v>
      </c>
      <c r="CT418">
        <f t="shared" si="368"/>
        <v>425.8</v>
      </c>
      <c r="CU418">
        <f t="shared" si="369"/>
        <v>0</v>
      </c>
      <c r="CV418">
        <f t="shared" si="370"/>
        <v>0.6</v>
      </c>
      <c r="CW418">
        <f t="shared" si="371"/>
        <v>0</v>
      </c>
      <c r="CX418">
        <f t="shared" si="372"/>
        <v>0</v>
      </c>
      <c r="CY418">
        <f t="shared" si="373"/>
        <v>8941.7999999999993</v>
      </c>
      <c r="CZ418">
        <f t="shared" si="374"/>
        <v>1277.4000000000001</v>
      </c>
      <c r="DC418" t="s">
        <v>3</v>
      </c>
      <c r="DD418" t="s">
        <v>42</v>
      </c>
      <c r="DE418" t="s">
        <v>42</v>
      </c>
      <c r="DF418" t="s">
        <v>42</v>
      </c>
      <c r="DG418" t="s">
        <v>42</v>
      </c>
      <c r="DH418" t="s">
        <v>3</v>
      </c>
      <c r="DI418" t="s">
        <v>42</v>
      </c>
      <c r="DJ418" t="s">
        <v>42</v>
      </c>
      <c r="DK418" t="s">
        <v>3</v>
      </c>
      <c r="DL418" t="s">
        <v>3</v>
      </c>
      <c r="DM418" t="s">
        <v>3</v>
      </c>
      <c r="DN418">
        <v>0</v>
      </c>
      <c r="DO418">
        <v>0</v>
      </c>
      <c r="DP418">
        <v>1</v>
      </c>
      <c r="DQ418">
        <v>1</v>
      </c>
      <c r="DU418">
        <v>16987630</v>
      </c>
      <c r="DV418" t="s">
        <v>36</v>
      </c>
      <c r="DW418" t="s">
        <v>36</v>
      </c>
      <c r="DX418">
        <v>1</v>
      </c>
      <c r="DZ418" t="s">
        <v>3</v>
      </c>
      <c r="EA418" t="s">
        <v>3</v>
      </c>
      <c r="EB418" t="s">
        <v>3</v>
      </c>
      <c r="EC418" t="s">
        <v>3</v>
      </c>
      <c r="EE418">
        <v>1441815344</v>
      </c>
      <c r="EF418">
        <v>1</v>
      </c>
      <c r="EG418" t="s">
        <v>21</v>
      </c>
      <c r="EH418">
        <v>0</v>
      </c>
      <c r="EI418" t="s">
        <v>3</v>
      </c>
      <c r="EJ418">
        <v>4</v>
      </c>
      <c r="EK418">
        <v>0</v>
      </c>
      <c r="EL418" t="s">
        <v>22</v>
      </c>
      <c r="EM418" t="s">
        <v>23</v>
      </c>
      <c r="EO418" t="s">
        <v>3</v>
      </c>
      <c r="EQ418">
        <v>0</v>
      </c>
      <c r="ER418">
        <v>217.43</v>
      </c>
      <c r="ES418">
        <v>4.53</v>
      </c>
      <c r="ET418">
        <v>0</v>
      </c>
      <c r="EU418">
        <v>0</v>
      </c>
      <c r="EV418">
        <v>212.9</v>
      </c>
      <c r="EW418">
        <v>0.3</v>
      </c>
      <c r="EX418">
        <v>0</v>
      </c>
      <c r="EY418">
        <v>0</v>
      </c>
      <c r="FQ418">
        <v>0</v>
      </c>
      <c r="FR418">
        <f t="shared" si="375"/>
        <v>0</v>
      </c>
      <c r="FS418">
        <v>0</v>
      </c>
      <c r="FX418">
        <v>70</v>
      </c>
      <c r="FY418">
        <v>10</v>
      </c>
      <c r="GA418" t="s">
        <v>3</v>
      </c>
      <c r="GD418">
        <v>0</v>
      </c>
      <c r="GF418">
        <v>-680911377</v>
      </c>
      <c r="GG418">
        <v>2</v>
      </c>
      <c r="GH418">
        <v>1</v>
      </c>
      <c r="GI418">
        <v>-2</v>
      </c>
      <c r="GJ418">
        <v>0</v>
      </c>
      <c r="GK418">
        <f>ROUND(R418*(R12)/100,2)</f>
        <v>0</v>
      </c>
      <c r="GL418">
        <f t="shared" si="376"/>
        <v>0</v>
      </c>
      <c r="GM418">
        <f t="shared" si="377"/>
        <v>23265</v>
      </c>
      <c r="GN418">
        <f t="shared" si="378"/>
        <v>0</v>
      </c>
      <c r="GO418">
        <f t="shared" si="379"/>
        <v>0</v>
      </c>
      <c r="GP418">
        <f t="shared" si="380"/>
        <v>23265</v>
      </c>
      <c r="GR418">
        <v>0</v>
      </c>
      <c r="GS418">
        <v>3</v>
      </c>
      <c r="GT418">
        <v>0</v>
      </c>
      <c r="GU418" t="s">
        <v>3</v>
      </c>
      <c r="GV418">
        <f t="shared" si="381"/>
        <v>0</v>
      </c>
      <c r="GW418">
        <v>1</v>
      </c>
      <c r="GX418">
        <f t="shared" si="382"/>
        <v>0</v>
      </c>
      <c r="HA418">
        <v>0</v>
      </c>
      <c r="HB418">
        <v>0</v>
      </c>
      <c r="HC418">
        <f t="shared" si="383"/>
        <v>0</v>
      </c>
      <c r="HE418" t="s">
        <v>3</v>
      </c>
      <c r="HF418" t="s">
        <v>3</v>
      </c>
      <c r="HM418" t="s">
        <v>3</v>
      </c>
      <c r="HN418" t="s">
        <v>3</v>
      </c>
      <c r="HO418" t="s">
        <v>3</v>
      </c>
      <c r="HP418" t="s">
        <v>3</v>
      </c>
      <c r="HQ418" t="s">
        <v>3</v>
      </c>
      <c r="IK418">
        <v>0</v>
      </c>
    </row>
    <row r="419" spans="1:245" x14ac:dyDescent="0.2">
      <c r="A419">
        <v>19</v>
      </c>
      <c r="B419">
        <v>1</v>
      </c>
      <c r="F419" t="s">
        <v>3</v>
      </c>
      <c r="G419" t="s">
        <v>335</v>
      </c>
      <c r="H419" t="s">
        <v>3</v>
      </c>
      <c r="AA419">
        <v>1</v>
      </c>
      <c r="IK419">
        <v>0</v>
      </c>
    </row>
    <row r="420" spans="1:245" x14ac:dyDescent="0.2">
      <c r="A420">
        <v>17</v>
      </c>
      <c r="B420">
        <v>1</v>
      </c>
      <c r="D420">
        <f>ROW(EtalonRes!A235)</f>
        <v>235</v>
      </c>
      <c r="E420" t="s">
        <v>336</v>
      </c>
      <c r="F420" t="s">
        <v>227</v>
      </c>
      <c r="G420" t="s">
        <v>337</v>
      </c>
      <c r="H420" t="s">
        <v>36</v>
      </c>
      <c r="I420">
        <f>ROUND(4*15,9)</f>
        <v>60</v>
      </c>
      <c r="J420">
        <v>0</v>
      </c>
      <c r="K420">
        <f>ROUND(4*15,9)</f>
        <v>60</v>
      </c>
      <c r="O420">
        <f>ROUND(CP420,2)</f>
        <v>14107.49</v>
      </c>
      <c r="P420">
        <f>ROUND(CQ420*I420,2)</f>
        <v>75.599999999999994</v>
      </c>
      <c r="Q420">
        <f>ROUND(CR420*I420,2)</f>
        <v>0</v>
      </c>
      <c r="R420">
        <f>ROUND(CS420*I420,2)</f>
        <v>0</v>
      </c>
      <c r="S420">
        <f>ROUND(CT420*I420,2)</f>
        <v>14031.89</v>
      </c>
      <c r="T420">
        <f>ROUND(CU420*I420,2)</f>
        <v>0</v>
      </c>
      <c r="U420">
        <f>CV420*I420</f>
        <v>24.96</v>
      </c>
      <c r="V420">
        <f>CW420*I420</f>
        <v>0</v>
      </c>
      <c r="W420">
        <f>ROUND(CX420*I420,2)</f>
        <v>0</v>
      </c>
      <c r="X420">
        <f t="shared" ref="X420:Y422" si="384">ROUND(CY420,2)</f>
        <v>9822.32</v>
      </c>
      <c r="Y420">
        <f t="shared" si="384"/>
        <v>1403.19</v>
      </c>
      <c r="AA420">
        <v>1471718271</v>
      </c>
      <c r="AB420">
        <f>ROUND((AC420+AD420+AF420),6)</f>
        <v>235.12479999999999</v>
      </c>
      <c r="AC420">
        <f>ROUND((ES420),6)</f>
        <v>1.26</v>
      </c>
      <c r="AD420">
        <f>ROUND((((ET420)-(EU420))+AE420),6)</f>
        <v>0</v>
      </c>
      <c r="AE420">
        <f>ROUND((EU420),6)</f>
        <v>0</v>
      </c>
      <c r="AF420">
        <f>ROUND(((EV420*1.04)),6)</f>
        <v>233.8648</v>
      </c>
      <c r="AG420">
        <f>ROUND((AP420),6)</f>
        <v>0</v>
      </c>
      <c r="AH420">
        <f>((EW420*1.04))</f>
        <v>0.41600000000000004</v>
      </c>
      <c r="AI420">
        <f>(EX420)</f>
        <v>0</v>
      </c>
      <c r="AJ420">
        <f>(AS420)</f>
        <v>0</v>
      </c>
      <c r="AK420">
        <v>226.13</v>
      </c>
      <c r="AL420">
        <v>1.26</v>
      </c>
      <c r="AM420">
        <v>0</v>
      </c>
      <c r="AN420">
        <v>0</v>
      </c>
      <c r="AO420">
        <v>224.87</v>
      </c>
      <c r="AP420">
        <v>0</v>
      </c>
      <c r="AQ420">
        <v>0.4</v>
      </c>
      <c r="AR420">
        <v>0</v>
      </c>
      <c r="AS420">
        <v>0</v>
      </c>
      <c r="AT420">
        <v>70</v>
      </c>
      <c r="AU420">
        <v>10</v>
      </c>
      <c r="AV420">
        <v>1</v>
      </c>
      <c r="AW420">
        <v>1</v>
      </c>
      <c r="AZ420">
        <v>1</v>
      </c>
      <c r="BA420">
        <v>1</v>
      </c>
      <c r="BB420">
        <v>1</v>
      </c>
      <c r="BC420">
        <v>1</v>
      </c>
      <c r="BD420" t="s">
        <v>3</v>
      </c>
      <c r="BE420" t="s">
        <v>3</v>
      </c>
      <c r="BF420" t="s">
        <v>3</v>
      </c>
      <c r="BG420" t="s">
        <v>3</v>
      </c>
      <c r="BH420">
        <v>0</v>
      </c>
      <c r="BI420">
        <v>4</v>
      </c>
      <c r="BJ420" t="s">
        <v>229</v>
      </c>
      <c r="BM420">
        <v>0</v>
      </c>
      <c r="BN420">
        <v>0</v>
      </c>
      <c r="BO420" t="s">
        <v>3</v>
      </c>
      <c r="BP420">
        <v>0</v>
      </c>
      <c r="BQ420">
        <v>1</v>
      </c>
      <c r="BR420">
        <v>0</v>
      </c>
      <c r="BS420">
        <v>1</v>
      </c>
      <c r="BT420">
        <v>1</v>
      </c>
      <c r="BU420">
        <v>1</v>
      </c>
      <c r="BV420">
        <v>1</v>
      </c>
      <c r="BW420">
        <v>1</v>
      </c>
      <c r="BX420">
        <v>1</v>
      </c>
      <c r="BY420" t="s">
        <v>3</v>
      </c>
      <c r="BZ420">
        <v>70</v>
      </c>
      <c r="CA420">
        <v>10</v>
      </c>
      <c r="CB420" t="s">
        <v>3</v>
      </c>
      <c r="CE420">
        <v>0</v>
      </c>
      <c r="CF420">
        <v>0</v>
      </c>
      <c r="CG420">
        <v>0</v>
      </c>
      <c r="CM420">
        <v>0</v>
      </c>
      <c r="CN420" t="s">
        <v>230</v>
      </c>
      <c r="CO420">
        <v>0</v>
      </c>
      <c r="CP420">
        <f>(P420+Q420+S420)</f>
        <v>14107.49</v>
      </c>
      <c r="CQ420">
        <f>(AC420*BC420*AW420)</f>
        <v>1.26</v>
      </c>
      <c r="CR420">
        <f>((((ET420)*BB420-(EU420)*BS420)+AE420*BS420)*AV420)</f>
        <v>0</v>
      </c>
      <c r="CS420">
        <f>(AE420*BS420*AV420)</f>
        <v>0</v>
      </c>
      <c r="CT420">
        <f>(AF420*BA420*AV420)</f>
        <v>233.8648</v>
      </c>
      <c r="CU420">
        <f>AG420</f>
        <v>0</v>
      </c>
      <c r="CV420">
        <f>(AH420*AV420)</f>
        <v>0.41600000000000004</v>
      </c>
      <c r="CW420">
        <f t="shared" ref="CW420:CX422" si="385">AI420</f>
        <v>0</v>
      </c>
      <c r="CX420">
        <f t="shared" si="385"/>
        <v>0</v>
      </c>
      <c r="CY420">
        <f>((S420*BZ420)/100)</f>
        <v>9822.3229999999985</v>
      </c>
      <c r="CZ420">
        <f>((S420*CA420)/100)</f>
        <v>1403.1889999999999</v>
      </c>
      <c r="DC420" t="s">
        <v>3</v>
      </c>
      <c r="DD420" t="s">
        <v>3</v>
      </c>
      <c r="DE420" t="s">
        <v>3</v>
      </c>
      <c r="DF420" t="s">
        <v>3</v>
      </c>
      <c r="DG420" t="s">
        <v>231</v>
      </c>
      <c r="DH420" t="s">
        <v>3</v>
      </c>
      <c r="DI420" t="s">
        <v>231</v>
      </c>
      <c r="DJ420" t="s">
        <v>3</v>
      </c>
      <c r="DK420" t="s">
        <v>3</v>
      </c>
      <c r="DL420" t="s">
        <v>3</v>
      </c>
      <c r="DM420" t="s">
        <v>3</v>
      </c>
      <c r="DN420">
        <v>0</v>
      </c>
      <c r="DO420">
        <v>0</v>
      </c>
      <c r="DP420">
        <v>1</v>
      </c>
      <c r="DQ420">
        <v>1</v>
      </c>
      <c r="DU420">
        <v>16987630</v>
      </c>
      <c r="DV420" t="s">
        <v>36</v>
      </c>
      <c r="DW420" t="s">
        <v>36</v>
      </c>
      <c r="DX420">
        <v>1</v>
      </c>
      <c r="DZ420" t="s">
        <v>3</v>
      </c>
      <c r="EA420" t="s">
        <v>3</v>
      </c>
      <c r="EB420" t="s">
        <v>3</v>
      </c>
      <c r="EC420" t="s">
        <v>3</v>
      </c>
      <c r="EE420">
        <v>1441815344</v>
      </c>
      <c r="EF420">
        <v>1</v>
      </c>
      <c r="EG420" t="s">
        <v>21</v>
      </c>
      <c r="EH420">
        <v>0</v>
      </c>
      <c r="EI420" t="s">
        <v>3</v>
      </c>
      <c r="EJ420">
        <v>4</v>
      </c>
      <c r="EK420">
        <v>0</v>
      </c>
      <c r="EL420" t="s">
        <v>22</v>
      </c>
      <c r="EM420" t="s">
        <v>23</v>
      </c>
      <c r="EO420" t="s">
        <v>232</v>
      </c>
      <c r="EQ420">
        <v>768</v>
      </c>
      <c r="ER420">
        <v>226.13</v>
      </c>
      <c r="ES420">
        <v>1.26</v>
      </c>
      <c r="ET420">
        <v>0</v>
      </c>
      <c r="EU420">
        <v>0</v>
      </c>
      <c r="EV420">
        <v>224.87</v>
      </c>
      <c r="EW420">
        <v>0.4</v>
      </c>
      <c r="EX420">
        <v>0</v>
      </c>
      <c r="EY420">
        <v>0</v>
      </c>
      <c r="FQ420">
        <v>0</v>
      </c>
      <c r="FR420">
        <f>ROUND(IF(BI420=3,GM420,0),2)</f>
        <v>0</v>
      </c>
      <c r="FS420">
        <v>0</v>
      </c>
      <c r="FX420">
        <v>70</v>
      </c>
      <c r="FY420">
        <v>10</v>
      </c>
      <c r="GA420" t="s">
        <v>3</v>
      </c>
      <c r="GD420">
        <v>0</v>
      </c>
      <c r="GF420">
        <v>-287878839</v>
      </c>
      <c r="GG420">
        <v>2</v>
      </c>
      <c r="GH420">
        <v>1</v>
      </c>
      <c r="GI420">
        <v>-2</v>
      </c>
      <c r="GJ420">
        <v>0</v>
      </c>
      <c r="GK420">
        <f>ROUND(R420*(R12)/100,2)</f>
        <v>0</v>
      </c>
      <c r="GL420">
        <f>ROUND(IF(AND(BH420=3,BI420=3,FS420&lt;&gt;0),P420,0),2)</f>
        <v>0</v>
      </c>
      <c r="GM420">
        <f>ROUND(O420+X420+Y420+GK420,2)+GX420</f>
        <v>25333</v>
      </c>
      <c r="GN420">
        <f>IF(OR(BI420=0,BI420=1),GM420-GX420,0)</f>
        <v>0</v>
      </c>
      <c r="GO420">
        <f>IF(BI420=2,GM420-GX420,0)</f>
        <v>0</v>
      </c>
      <c r="GP420">
        <f>IF(BI420=4,GM420-GX420,0)</f>
        <v>25333</v>
      </c>
      <c r="GR420">
        <v>0</v>
      </c>
      <c r="GS420">
        <v>3</v>
      </c>
      <c r="GT420">
        <v>0</v>
      </c>
      <c r="GU420" t="s">
        <v>3</v>
      </c>
      <c r="GV420">
        <f>ROUND((GT420),6)</f>
        <v>0</v>
      </c>
      <c r="GW420">
        <v>1</v>
      </c>
      <c r="GX420">
        <f>ROUND(HC420*I420,2)</f>
        <v>0</v>
      </c>
      <c r="HA420">
        <v>0</v>
      </c>
      <c r="HB420">
        <v>0</v>
      </c>
      <c r="HC420">
        <f>GV420*GW420</f>
        <v>0</v>
      </c>
      <c r="HE420" t="s">
        <v>3</v>
      </c>
      <c r="HF420" t="s">
        <v>3</v>
      </c>
      <c r="HM420" t="s">
        <v>3</v>
      </c>
      <c r="HN420" t="s">
        <v>3</v>
      </c>
      <c r="HO420" t="s">
        <v>3</v>
      </c>
      <c r="HP420" t="s">
        <v>3</v>
      </c>
      <c r="HQ420" t="s">
        <v>3</v>
      </c>
      <c r="IK420">
        <v>0</v>
      </c>
    </row>
    <row r="421" spans="1:245" x14ac:dyDescent="0.2">
      <c r="A421">
        <v>17</v>
      </c>
      <c r="B421">
        <v>1</v>
      </c>
      <c r="D421">
        <f>ROW(EtalonRes!A237)</f>
        <v>237</v>
      </c>
      <c r="E421" t="s">
        <v>338</v>
      </c>
      <c r="F421" t="s">
        <v>339</v>
      </c>
      <c r="G421" t="s">
        <v>340</v>
      </c>
      <c r="H421" t="s">
        <v>36</v>
      </c>
      <c r="I421">
        <f>ROUND(9*15,9)</f>
        <v>135</v>
      </c>
      <c r="J421">
        <v>0</v>
      </c>
      <c r="K421">
        <f>ROUND(9*15,9)</f>
        <v>135</v>
      </c>
      <c r="O421">
        <f>ROUND(CP421,2)</f>
        <v>14377.18</v>
      </c>
      <c r="P421">
        <f>ROUND(CQ421*I421,2)</f>
        <v>170.1</v>
      </c>
      <c r="Q421">
        <f>ROUND(CR421*I421,2)</f>
        <v>0</v>
      </c>
      <c r="R421">
        <f>ROUND(CS421*I421,2)</f>
        <v>0</v>
      </c>
      <c r="S421">
        <f>ROUND(CT421*I421,2)</f>
        <v>14207.08</v>
      </c>
      <c r="T421">
        <f>ROUND(CU421*I421,2)</f>
        <v>0</v>
      </c>
      <c r="U421">
        <f>CV421*I421</f>
        <v>25.272000000000002</v>
      </c>
      <c r="V421">
        <f>CW421*I421</f>
        <v>0</v>
      </c>
      <c r="W421">
        <f>ROUND(CX421*I421,2)</f>
        <v>0</v>
      </c>
      <c r="X421">
        <f t="shared" si="384"/>
        <v>9944.9599999999991</v>
      </c>
      <c r="Y421">
        <f t="shared" si="384"/>
        <v>1420.71</v>
      </c>
      <c r="AA421">
        <v>1471718271</v>
      </c>
      <c r="AB421">
        <f>ROUND((AC421+AD421+AF421),6)</f>
        <v>106.49760000000001</v>
      </c>
      <c r="AC421">
        <f>ROUND((ES421),6)</f>
        <v>1.26</v>
      </c>
      <c r="AD421">
        <f>ROUND((((ET421)-(EU421))+AE421),6)</f>
        <v>0</v>
      </c>
      <c r="AE421">
        <f>ROUND((EU421),6)</f>
        <v>0</v>
      </c>
      <c r="AF421">
        <f>ROUND(((EV421*1.04)),6)</f>
        <v>105.2376</v>
      </c>
      <c r="AG421">
        <f>ROUND((AP421),6)</f>
        <v>0</v>
      </c>
      <c r="AH421">
        <f>((EW421*1.04))</f>
        <v>0.18720000000000001</v>
      </c>
      <c r="AI421">
        <f>(EX421)</f>
        <v>0</v>
      </c>
      <c r="AJ421">
        <f>(AS421)</f>
        <v>0</v>
      </c>
      <c r="AK421">
        <v>102.45</v>
      </c>
      <c r="AL421">
        <v>1.26</v>
      </c>
      <c r="AM421">
        <v>0</v>
      </c>
      <c r="AN421">
        <v>0</v>
      </c>
      <c r="AO421">
        <v>101.19</v>
      </c>
      <c r="AP421">
        <v>0</v>
      </c>
      <c r="AQ421">
        <v>0.18</v>
      </c>
      <c r="AR421">
        <v>0</v>
      </c>
      <c r="AS421">
        <v>0</v>
      </c>
      <c r="AT421">
        <v>70</v>
      </c>
      <c r="AU421">
        <v>10</v>
      </c>
      <c r="AV421">
        <v>1</v>
      </c>
      <c r="AW421">
        <v>1</v>
      </c>
      <c r="AZ421">
        <v>1</v>
      </c>
      <c r="BA421">
        <v>1</v>
      </c>
      <c r="BB421">
        <v>1</v>
      </c>
      <c r="BC421">
        <v>1</v>
      </c>
      <c r="BD421" t="s">
        <v>3</v>
      </c>
      <c r="BE421" t="s">
        <v>3</v>
      </c>
      <c r="BF421" t="s">
        <v>3</v>
      </c>
      <c r="BG421" t="s">
        <v>3</v>
      </c>
      <c r="BH421">
        <v>0</v>
      </c>
      <c r="BI421">
        <v>4</v>
      </c>
      <c r="BJ421" t="s">
        <v>341</v>
      </c>
      <c r="BM421">
        <v>0</v>
      </c>
      <c r="BN421">
        <v>0</v>
      </c>
      <c r="BO421" t="s">
        <v>3</v>
      </c>
      <c r="BP421">
        <v>0</v>
      </c>
      <c r="BQ421">
        <v>1</v>
      </c>
      <c r="BR421">
        <v>0</v>
      </c>
      <c r="BS421">
        <v>1</v>
      </c>
      <c r="BT421">
        <v>1</v>
      </c>
      <c r="BU421">
        <v>1</v>
      </c>
      <c r="BV421">
        <v>1</v>
      </c>
      <c r="BW421">
        <v>1</v>
      </c>
      <c r="BX421">
        <v>1</v>
      </c>
      <c r="BY421" t="s">
        <v>3</v>
      </c>
      <c r="BZ421">
        <v>70</v>
      </c>
      <c r="CA421">
        <v>10</v>
      </c>
      <c r="CB421" t="s">
        <v>3</v>
      </c>
      <c r="CE421">
        <v>0</v>
      </c>
      <c r="CF421">
        <v>0</v>
      </c>
      <c r="CG421">
        <v>0</v>
      </c>
      <c r="CM421">
        <v>0</v>
      </c>
      <c r="CN421" t="s">
        <v>230</v>
      </c>
      <c r="CO421">
        <v>0</v>
      </c>
      <c r="CP421">
        <f>(P421+Q421+S421)</f>
        <v>14377.18</v>
      </c>
      <c r="CQ421">
        <f>(AC421*BC421*AW421)</f>
        <v>1.26</v>
      </c>
      <c r="CR421">
        <f>((((ET421)*BB421-(EU421)*BS421)+AE421*BS421)*AV421)</f>
        <v>0</v>
      </c>
      <c r="CS421">
        <f>(AE421*BS421*AV421)</f>
        <v>0</v>
      </c>
      <c r="CT421">
        <f>(AF421*BA421*AV421)</f>
        <v>105.2376</v>
      </c>
      <c r="CU421">
        <f>AG421</f>
        <v>0</v>
      </c>
      <c r="CV421">
        <f>(AH421*AV421)</f>
        <v>0.18720000000000001</v>
      </c>
      <c r="CW421">
        <f t="shared" si="385"/>
        <v>0</v>
      </c>
      <c r="CX421">
        <f t="shared" si="385"/>
        <v>0</v>
      </c>
      <c r="CY421">
        <f>((S421*BZ421)/100)</f>
        <v>9944.9560000000001</v>
      </c>
      <c r="CZ421">
        <f>((S421*CA421)/100)</f>
        <v>1420.7079999999999</v>
      </c>
      <c r="DC421" t="s">
        <v>3</v>
      </c>
      <c r="DD421" t="s">
        <v>3</v>
      </c>
      <c r="DE421" t="s">
        <v>3</v>
      </c>
      <c r="DF421" t="s">
        <v>3</v>
      </c>
      <c r="DG421" t="s">
        <v>231</v>
      </c>
      <c r="DH421" t="s">
        <v>3</v>
      </c>
      <c r="DI421" t="s">
        <v>231</v>
      </c>
      <c r="DJ421" t="s">
        <v>3</v>
      </c>
      <c r="DK421" t="s">
        <v>3</v>
      </c>
      <c r="DL421" t="s">
        <v>3</v>
      </c>
      <c r="DM421" t="s">
        <v>3</v>
      </c>
      <c r="DN421">
        <v>0</v>
      </c>
      <c r="DO421">
        <v>0</v>
      </c>
      <c r="DP421">
        <v>1</v>
      </c>
      <c r="DQ421">
        <v>1</v>
      </c>
      <c r="DU421">
        <v>16987630</v>
      </c>
      <c r="DV421" t="s">
        <v>36</v>
      </c>
      <c r="DW421" t="s">
        <v>36</v>
      </c>
      <c r="DX421">
        <v>1</v>
      </c>
      <c r="DZ421" t="s">
        <v>3</v>
      </c>
      <c r="EA421" t="s">
        <v>3</v>
      </c>
      <c r="EB421" t="s">
        <v>3</v>
      </c>
      <c r="EC421" t="s">
        <v>3</v>
      </c>
      <c r="EE421">
        <v>1441815344</v>
      </c>
      <c r="EF421">
        <v>1</v>
      </c>
      <c r="EG421" t="s">
        <v>21</v>
      </c>
      <c r="EH421">
        <v>0</v>
      </c>
      <c r="EI421" t="s">
        <v>3</v>
      </c>
      <c r="EJ421">
        <v>4</v>
      </c>
      <c r="EK421">
        <v>0</v>
      </c>
      <c r="EL421" t="s">
        <v>22</v>
      </c>
      <c r="EM421" t="s">
        <v>23</v>
      </c>
      <c r="EO421" t="s">
        <v>232</v>
      </c>
      <c r="EQ421">
        <v>768</v>
      </c>
      <c r="ER421">
        <v>102.45</v>
      </c>
      <c r="ES421">
        <v>1.26</v>
      </c>
      <c r="ET421">
        <v>0</v>
      </c>
      <c r="EU421">
        <v>0</v>
      </c>
      <c r="EV421">
        <v>101.19</v>
      </c>
      <c r="EW421">
        <v>0.18</v>
      </c>
      <c r="EX421">
        <v>0</v>
      </c>
      <c r="EY421">
        <v>0</v>
      </c>
      <c r="FQ421">
        <v>0</v>
      </c>
      <c r="FR421">
        <f>ROUND(IF(BI421=3,GM421,0),2)</f>
        <v>0</v>
      </c>
      <c r="FS421">
        <v>0</v>
      </c>
      <c r="FX421">
        <v>70</v>
      </c>
      <c r="FY421">
        <v>10</v>
      </c>
      <c r="GA421" t="s">
        <v>3</v>
      </c>
      <c r="GD421">
        <v>0</v>
      </c>
      <c r="GF421">
        <v>669367157</v>
      </c>
      <c r="GG421">
        <v>2</v>
      </c>
      <c r="GH421">
        <v>1</v>
      </c>
      <c r="GI421">
        <v>-2</v>
      </c>
      <c r="GJ421">
        <v>0</v>
      </c>
      <c r="GK421">
        <f>ROUND(R421*(R12)/100,2)</f>
        <v>0</v>
      </c>
      <c r="GL421">
        <f>ROUND(IF(AND(BH421=3,BI421=3,FS421&lt;&gt;0),P421,0),2)</f>
        <v>0</v>
      </c>
      <c r="GM421">
        <f>ROUND(O421+X421+Y421+GK421,2)+GX421</f>
        <v>25742.85</v>
      </c>
      <c r="GN421">
        <f>IF(OR(BI421=0,BI421=1),GM421-GX421,0)</f>
        <v>0</v>
      </c>
      <c r="GO421">
        <f>IF(BI421=2,GM421-GX421,0)</f>
        <v>0</v>
      </c>
      <c r="GP421">
        <f>IF(BI421=4,GM421-GX421,0)</f>
        <v>25742.85</v>
      </c>
      <c r="GR421">
        <v>0</v>
      </c>
      <c r="GS421">
        <v>3</v>
      </c>
      <c r="GT421">
        <v>0</v>
      </c>
      <c r="GU421" t="s">
        <v>3</v>
      </c>
      <c r="GV421">
        <f>ROUND((GT421),6)</f>
        <v>0</v>
      </c>
      <c r="GW421">
        <v>1</v>
      </c>
      <c r="GX421">
        <f>ROUND(HC421*I421,2)</f>
        <v>0</v>
      </c>
      <c r="HA421">
        <v>0</v>
      </c>
      <c r="HB421">
        <v>0</v>
      </c>
      <c r="HC421">
        <f>GV421*GW421</f>
        <v>0</v>
      </c>
      <c r="HE421" t="s">
        <v>3</v>
      </c>
      <c r="HF421" t="s">
        <v>3</v>
      </c>
      <c r="HM421" t="s">
        <v>3</v>
      </c>
      <c r="HN421" t="s">
        <v>3</v>
      </c>
      <c r="HO421" t="s">
        <v>3</v>
      </c>
      <c r="HP421" t="s">
        <v>3</v>
      </c>
      <c r="HQ421" t="s">
        <v>3</v>
      </c>
      <c r="IK421">
        <v>0</v>
      </c>
    </row>
    <row r="422" spans="1:245" x14ac:dyDescent="0.2">
      <c r="A422">
        <v>17</v>
      </c>
      <c r="B422">
        <v>1</v>
      </c>
      <c r="D422">
        <f>ROW(EtalonRes!A239)</f>
        <v>239</v>
      </c>
      <c r="E422" t="s">
        <v>342</v>
      </c>
      <c r="F422" t="s">
        <v>234</v>
      </c>
      <c r="G422" t="s">
        <v>472</v>
      </c>
      <c r="H422" t="s">
        <v>36</v>
      </c>
      <c r="I422">
        <f>ROUND(1*15,9)</f>
        <v>15</v>
      </c>
      <c r="J422">
        <v>0</v>
      </c>
      <c r="K422">
        <f>ROUND(1*15,9)</f>
        <v>15</v>
      </c>
      <c r="O422">
        <f>ROUND(CP422,2)</f>
        <v>2640.39</v>
      </c>
      <c r="P422">
        <f>ROUND(CQ422*I422,2)</f>
        <v>9.4499999999999993</v>
      </c>
      <c r="Q422">
        <f>ROUND(CR422*I422,2)</f>
        <v>0</v>
      </c>
      <c r="R422">
        <f>ROUND(CS422*I422,2)</f>
        <v>0</v>
      </c>
      <c r="S422">
        <f>ROUND(CT422*I422,2)</f>
        <v>2630.94</v>
      </c>
      <c r="T422">
        <f>ROUND(CU422*I422,2)</f>
        <v>0</v>
      </c>
      <c r="U422">
        <f>CV422*I422</f>
        <v>4.68</v>
      </c>
      <c r="V422">
        <f>CW422*I422</f>
        <v>0</v>
      </c>
      <c r="W422">
        <f>ROUND(CX422*I422,2)</f>
        <v>0</v>
      </c>
      <c r="X422">
        <f t="shared" si="384"/>
        <v>1841.66</v>
      </c>
      <c r="Y422">
        <f t="shared" si="384"/>
        <v>263.08999999999997</v>
      </c>
      <c r="AA422">
        <v>1471718271</v>
      </c>
      <c r="AB422">
        <f>ROUND((AC422+AD422+AF422),6)</f>
        <v>176.02600000000001</v>
      </c>
      <c r="AC422">
        <f>ROUND((ES422),6)</f>
        <v>0.63</v>
      </c>
      <c r="AD422">
        <f>ROUND((((ET422)-(EU422))+AE422),6)</f>
        <v>0</v>
      </c>
      <c r="AE422">
        <f>ROUND((EU422),6)</f>
        <v>0</v>
      </c>
      <c r="AF422">
        <f>ROUND(((EV422*1.04)),6)</f>
        <v>175.39599999999999</v>
      </c>
      <c r="AG422">
        <f>ROUND((AP422),6)</f>
        <v>0</v>
      </c>
      <c r="AH422">
        <f>((EW422*1.04))</f>
        <v>0.312</v>
      </c>
      <c r="AI422">
        <f>(EX422)</f>
        <v>0</v>
      </c>
      <c r="AJ422">
        <f>(AS422)</f>
        <v>0</v>
      </c>
      <c r="AK422">
        <v>169.28</v>
      </c>
      <c r="AL422">
        <v>0.63</v>
      </c>
      <c r="AM422">
        <v>0</v>
      </c>
      <c r="AN422">
        <v>0</v>
      </c>
      <c r="AO422">
        <v>168.65</v>
      </c>
      <c r="AP422">
        <v>0</v>
      </c>
      <c r="AQ422">
        <v>0.3</v>
      </c>
      <c r="AR422">
        <v>0</v>
      </c>
      <c r="AS422">
        <v>0</v>
      </c>
      <c r="AT422">
        <v>70</v>
      </c>
      <c r="AU422">
        <v>10</v>
      </c>
      <c r="AV422">
        <v>1</v>
      </c>
      <c r="AW422">
        <v>1</v>
      </c>
      <c r="AZ422">
        <v>1</v>
      </c>
      <c r="BA422">
        <v>1</v>
      </c>
      <c r="BB422">
        <v>1</v>
      </c>
      <c r="BC422">
        <v>1</v>
      </c>
      <c r="BD422" t="s">
        <v>3</v>
      </c>
      <c r="BE422" t="s">
        <v>3</v>
      </c>
      <c r="BF422" t="s">
        <v>3</v>
      </c>
      <c r="BG422" t="s">
        <v>3</v>
      </c>
      <c r="BH422">
        <v>0</v>
      </c>
      <c r="BI422">
        <v>4</v>
      </c>
      <c r="BJ422" t="s">
        <v>236</v>
      </c>
      <c r="BM422">
        <v>0</v>
      </c>
      <c r="BN422">
        <v>0</v>
      </c>
      <c r="BO422" t="s">
        <v>3</v>
      </c>
      <c r="BP422">
        <v>0</v>
      </c>
      <c r="BQ422">
        <v>1</v>
      </c>
      <c r="BR422">
        <v>0</v>
      </c>
      <c r="BS422">
        <v>1</v>
      </c>
      <c r="BT422">
        <v>1</v>
      </c>
      <c r="BU422">
        <v>1</v>
      </c>
      <c r="BV422">
        <v>1</v>
      </c>
      <c r="BW422">
        <v>1</v>
      </c>
      <c r="BX422">
        <v>1</v>
      </c>
      <c r="BY422" t="s">
        <v>3</v>
      </c>
      <c r="BZ422">
        <v>70</v>
      </c>
      <c r="CA422">
        <v>10</v>
      </c>
      <c r="CB422" t="s">
        <v>3</v>
      </c>
      <c r="CE422">
        <v>0</v>
      </c>
      <c r="CF422">
        <v>0</v>
      </c>
      <c r="CG422">
        <v>0</v>
      </c>
      <c r="CM422">
        <v>0</v>
      </c>
      <c r="CN422" t="s">
        <v>230</v>
      </c>
      <c r="CO422">
        <v>0</v>
      </c>
      <c r="CP422">
        <f>(P422+Q422+S422)</f>
        <v>2640.39</v>
      </c>
      <c r="CQ422">
        <f>(AC422*BC422*AW422)</f>
        <v>0.63</v>
      </c>
      <c r="CR422">
        <f>((((ET422)*BB422-(EU422)*BS422)+AE422*BS422)*AV422)</f>
        <v>0</v>
      </c>
      <c r="CS422">
        <f>(AE422*BS422*AV422)</f>
        <v>0</v>
      </c>
      <c r="CT422">
        <f>(AF422*BA422*AV422)</f>
        <v>175.39599999999999</v>
      </c>
      <c r="CU422">
        <f>AG422</f>
        <v>0</v>
      </c>
      <c r="CV422">
        <f>(AH422*AV422)</f>
        <v>0.312</v>
      </c>
      <c r="CW422">
        <f t="shared" si="385"/>
        <v>0</v>
      </c>
      <c r="CX422">
        <f t="shared" si="385"/>
        <v>0</v>
      </c>
      <c r="CY422">
        <f>((S422*BZ422)/100)</f>
        <v>1841.6580000000001</v>
      </c>
      <c r="CZ422">
        <f>((S422*CA422)/100)</f>
        <v>263.09399999999999</v>
      </c>
      <c r="DC422" t="s">
        <v>3</v>
      </c>
      <c r="DD422" t="s">
        <v>3</v>
      </c>
      <c r="DE422" t="s">
        <v>3</v>
      </c>
      <c r="DF422" t="s">
        <v>3</v>
      </c>
      <c r="DG422" t="s">
        <v>231</v>
      </c>
      <c r="DH422" t="s">
        <v>3</v>
      </c>
      <c r="DI422" t="s">
        <v>231</v>
      </c>
      <c r="DJ422" t="s">
        <v>3</v>
      </c>
      <c r="DK422" t="s">
        <v>3</v>
      </c>
      <c r="DL422" t="s">
        <v>3</v>
      </c>
      <c r="DM422" t="s">
        <v>3</v>
      </c>
      <c r="DN422">
        <v>0</v>
      </c>
      <c r="DO422">
        <v>0</v>
      </c>
      <c r="DP422">
        <v>1</v>
      </c>
      <c r="DQ422">
        <v>1</v>
      </c>
      <c r="DU422">
        <v>16987630</v>
      </c>
      <c r="DV422" t="s">
        <v>36</v>
      </c>
      <c r="DW422" t="s">
        <v>36</v>
      </c>
      <c r="DX422">
        <v>1</v>
      </c>
      <c r="DZ422" t="s">
        <v>3</v>
      </c>
      <c r="EA422" t="s">
        <v>3</v>
      </c>
      <c r="EB422" t="s">
        <v>3</v>
      </c>
      <c r="EC422" t="s">
        <v>3</v>
      </c>
      <c r="EE422">
        <v>1441815344</v>
      </c>
      <c r="EF422">
        <v>1</v>
      </c>
      <c r="EG422" t="s">
        <v>21</v>
      </c>
      <c r="EH422">
        <v>0</v>
      </c>
      <c r="EI422" t="s">
        <v>3</v>
      </c>
      <c r="EJ422">
        <v>4</v>
      </c>
      <c r="EK422">
        <v>0</v>
      </c>
      <c r="EL422" t="s">
        <v>22</v>
      </c>
      <c r="EM422" t="s">
        <v>23</v>
      </c>
      <c r="EO422" t="s">
        <v>232</v>
      </c>
      <c r="EQ422">
        <v>768</v>
      </c>
      <c r="ER422">
        <v>169.28</v>
      </c>
      <c r="ES422">
        <v>0.63</v>
      </c>
      <c r="ET422">
        <v>0</v>
      </c>
      <c r="EU422">
        <v>0</v>
      </c>
      <c r="EV422">
        <v>168.65</v>
      </c>
      <c r="EW422">
        <v>0.3</v>
      </c>
      <c r="EX422">
        <v>0</v>
      </c>
      <c r="EY422">
        <v>0</v>
      </c>
      <c r="FQ422">
        <v>0</v>
      </c>
      <c r="FR422">
        <f>ROUND(IF(BI422=3,GM422,0),2)</f>
        <v>0</v>
      </c>
      <c r="FS422">
        <v>0</v>
      </c>
      <c r="FX422">
        <v>70</v>
      </c>
      <c r="FY422">
        <v>10</v>
      </c>
      <c r="GA422" t="s">
        <v>3</v>
      </c>
      <c r="GD422">
        <v>0</v>
      </c>
      <c r="GF422">
        <v>2066620846</v>
      </c>
      <c r="GG422">
        <v>2</v>
      </c>
      <c r="GH422">
        <v>1</v>
      </c>
      <c r="GI422">
        <v>-2</v>
      </c>
      <c r="GJ422">
        <v>0</v>
      </c>
      <c r="GK422">
        <f>ROUND(R422*(R12)/100,2)</f>
        <v>0</v>
      </c>
      <c r="GL422">
        <f>ROUND(IF(AND(BH422=3,BI422=3,FS422&lt;&gt;0),P422,0),2)</f>
        <v>0</v>
      </c>
      <c r="GM422">
        <f>ROUND(O422+X422+Y422+GK422,2)+GX422</f>
        <v>4745.1400000000003</v>
      </c>
      <c r="GN422">
        <f>IF(OR(BI422=0,BI422=1),GM422-GX422,0)</f>
        <v>0</v>
      </c>
      <c r="GO422">
        <f>IF(BI422=2,GM422-GX422,0)</f>
        <v>0</v>
      </c>
      <c r="GP422">
        <f>IF(BI422=4,GM422-GX422,0)</f>
        <v>4745.1400000000003</v>
      </c>
      <c r="GR422">
        <v>0</v>
      </c>
      <c r="GS422">
        <v>3</v>
      </c>
      <c r="GT422">
        <v>0</v>
      </c>
      <c r="GU422" t="s">
        <v>3</v>
      </c>
      <c r="GV422">
        <f>ROUND((GT422),6)</f>
        <v>0</v>
      </c>
      <c r="GW422">
        <v>1</v>
      </c>
      <c r="GX422">
        <f>ROUND(HC422*I422,2)</f>
        <v>0</v>
      </c>
      <c r="HA422">
        <v>0</v>
      </c>
      <c r="HB422">
        <v>0</v>
      </c>
      <c r="HC422">
        <f>GV422*GW422</f>
        <v>0</v>
      </c>
      <c r="HE422" t="s">
        <v>3</v>
      </c>
      <c r="HF422" t="s">
        <v>3</v>
      </c>
      <c r="HM422" t="s">
        <v>3</v>
      </c>
      <c r="HN422" t="s">
        <v>3</v>
      </c>
      <c r="HO422" t="s">
        <v>3</v>
      </c>
      <c r="HP422" t="s">
        <v>3</v>
      </c>
      <c r="HQ422" t="s">
        <v>3</v>
      </c>
      <c r="IK422">
        <v>0</v>
      </c>
    </row>
    <row r="423" spans="1:245" x14ac:dyDescent="0.2">
      <c r="A423">
        <v>19</v>
      </c>
      <c r="B423">
        <v>1</v>
      </c>
      <c r="F423" t="s">
        <v>3</v>
      </c>
      <c r="G423" t="s">
        <v>237</v>
      </c>
      <c r="H423" t="s">
        <v>3</v>
      </c>
      <c r="AA423">
        <v>1</v>
      </c>
      <c r="IK423">
        <v>0</v>
      </c>
    </row>
    <row r="424" spans="1:245" x14ac:dyDescent="0.2">
      <c r="A424">
        <v>17</v>
      </c>
      <c r="B424">
        <v>1</v>
      </c>
      <c r="D424">
        <f>ROW(EtalonRes!A242)</f>
        <v>242</v>
      </c>
      <c r="E424" t="s">
        <v>343</v>
      </c>
      <c r="F424" t="s">
        <v>239</v>
      </c>
      <c r="G424" t="s">
        <v>240</v>
      </c>
      <c r="H424" t="s">
        <v>53</v>
      </c>
      <c r="I424">
        <f>ROUND((5+2)*15/100,9)</f>
        <v>1.05</v>
      </c>
      <c r="J424">
        <v>0</v>
      </c>
      <c r="K424">
        <f>ROUND((5+2)*15/100,9)</f>
        <v>1.05</v>
      </c>
      <c r="O424">
        <f t="shared" ref="O424:O431" si="386">ROUND(CP424,2)</f>
        <v>17324.75</v>
      </c>
      <c r="P424">
        <f t="shared" ref="P424:P431" si="387">ROUND(CQ424*I424,2)</f>
        <v>3.95</v>
      </c>
      <c r="Q424">
        <f t="shared" ref="Q424:Q431" si="388">ROUND(CR424*I424,2)</f>
        <v>3830.86</v>
      </c>
      <c r="R424">
        <f t="shared" ref="R424:R431" si="389">ROUND(CS424*I424,2)</f>
        <v>2429.0300000000002</v>
      </c>
      <c r="S424">
        <f t="shared" ref="S424:S431" si="390">ROUND(CT424*I424,2)</f>
        <v>13489.94</v>
      </c>
      <c r="T424">
        <f t="shared" ref="T424:T431" si="391">ROUND(CU424*I424,2)</f>
        <v>0</v>
      </c>
      <c r="U424">
        <f t="shared" ref="U424:U431" si="392">CV424*I424</f>
        <v>25.200000000000003</v>
      </c>
      <c r="V424">
        <f t="shared" ref="V424:V431" si="393">CW424*I424</f>
        <v>0</v>
      </c>
      <c r="W424">
        <f t="shared" ref="W424:W431" si="394">ROUND(CX424*I424,2)</f>
        <v>0</v>
      </c>
      <c r="X424">
        <f t="shared" ref="X424:Y431" si="395">ROUND(CY424,2)</f>
        <v>9442.9599999999991</v>
      </c>
      <c r="Y424">
        <f t="shared" si="395"/>
        <v>1348.99</v>
      </c>
      <c r="AA424">
        <v>1471718271</v>
      </c>
      <c r="AB424">
        <f t="shared" ref="AB424:AB431" si="396">ROUND((AC424+AD424+AF424),6)</f>
        <v>16499.759999999998</v>
      </c>
      <c r="AC424">
        <f>ROUND(((ES424*4)),6)</f>
        <v>3.76</v>
      </c>
      <c r="AD424">
        <f>ROUND(((((ET424*4))-((EU424*4)))+AE424),6)</f>
        <v>3648.44</v>
      </c>
      <c r="AE424">
        <f>ROUND(((EU424*4)),6)</f>
        <v>2313.36</v>
      </c>
      <c r="AF424">
        <f>ROUND(((EV424*4)),6)</f>
        <v>12847.56</v>
      </c>
      <c r="AG424">
        <f t="shared" ref="AG424:AG431" si="397">ROUND((AP424),6)</f>
        <v>0</v>
      </c>
      <c r="AH424">
        <f>((EW424*4))</f>
        <v>24</v>
      </c>
      <c r="AI424">
        <f>((EX424*4))</f>
        <v>0</v>
      </c>
      <c r="AJ424">
        <f t="shared" ref="AJ424:AJ431" si="398">(AS424)</f>
        <v>0</v>
      </c>
      <c r="AK424">
        <v>4124.9399999999996</v>
      </c>
      <c r="AL424">
        <v>0.94</v>
      </c>
      <c r="AM424">
        <v>912.11</v>
      </c>
      <c r="AN424">
        <v>578.34</v>
      </c>
      <c r="AO424">
        <v>3211.89</v>
      </c>
      <c r="AP424">
        <v>0</v>
      </c>
      <c r="AQ424">
        <v>6</v>
      </c>
      <c r="AR424">
        <v>0</v>
      </c>
      <c r="AS424">
        <v>0</v>
      </c>
      <c r="AT424">
        <v>70</v>
      </c>
      <c r="AU424">
        <v>10</v>
      </c>
      <c r="AV424">
        <v>1</v>
      </c>
      <c r="AW424">
        <v>1</v>
      </c>
      <c r="AZ424">
        <v>1</v>
      </c>
      <c r="BA424">
        <v>1</v>
      </c>
      <c r="BB424">
        <v>1</v>
      </c>
      <c r="BC424">
        <v>1</v>
      </c>
      <c r="BD424" t="s">
        <v>3</v>
      </c>
      <c r="BE424" t="s">
        <v>3</v>
      </c>
      <c r="BF424" t="s">
        <v>3</v>
      </c>
      <c r="BG424" t="s">
        <v>3</v>
      </c>
      <c r="BH424">
        <v>0</v>
      </c>
      <c r="BI424">
        <v>4</v>
      </c>
      <c r="BJ424" t="s">
        <v>241</v>
      </c>
      <c r="BM424">
        <v>0</v>
      </c>
      <c r="BN424">
        <v>0</v>
      </c>
      <c r="BO424" t="s">
        <v>3</v>
      </c>
      <c r="BP424">
        <v>0</v>
      </c>
      <c r="BQ424">
        <v>1</v>
      </c>
      <c r="BR424">
        <v>0</v>
      </c>
      <c r="BS424">
        <v>1</v>
      </c>
      <c r="BT424">
        <v>1</v>
      </c>
      <c r="BU424">
        <v>1</v>
      </c>
      <c r="BV424">
        <v>1</v>
      </c>
      <c r="BW424">
        <v>1</v>
      </c>
      <c r="BX424">
        <v>1</v>
      </c>
      <c r="BY424" t="s">
        <v>3</v>
      </c>
      <c r="BZ424">
        <v>70</v>
      </c>
      <c r="CA424">
        <v>10</v>
      </c>
      <c r="CB424" t="s">
        <v>3</v>
      </c>
      <c r="CE424">
        <v>0</v>
      </c>
      <c r="CF424">
        <v>0</v>
      </c>
      <c r="CG424">
        <v>0</v>
      </c>
      <c r="CM424">
        <v>0</v>
      </c>
      <c r="CN424" t="s">
        <v>3</v>
      </c>
      <c r="CO424">
        <v>0</v>
      </c>
      <c r="CP424">
        <f t="shared" ref="CP424:CP431" si="399">(P424+Q424+S424)</f>
        <v>17324.75</v>
      </c>
      <c r="CQ424">
        <f t="shared" ref="CQ424:CQ431" si="400">(AC424*BC424*AW424)</f>
        <v>3.76</v>
      </c>
      <c r="CR424">
        <f>(((((ET424*4))*BB424-((EU424*4))*BS424)+AE424*BS424)*AV424)</f>
        <v>3648.44</v>
      </c>
      <c r="CS424">
        <f t="shared" ref="CS424:CS431" si="401">(AE424*BS424*AV424)</f>
        <v>2313.36</v>
      </c>
      <c r="CT424">
        <f t="shared" ref="CT424:CT431" si="402">(AF424*BA424*AV424)</f>
        <v>12847.56</v>
      </c>
      <c r="CU424">
        <f t="shared" ref="CU424:CU431" si="403">AG424</f>
        <v>0</v>
      </c>
      <c r="CV424">
        <f t="shared" ref="CV424:CV431" si="404">(AH424*AV424)</f>
        <v>24</v>
      </c>
      <c r="CW424">
        <f t="shared" ref="CW424:CX431" si="405">AI424</f>
        <v>0</v>
      </c>
      <c r="CX424">
        <f t="shared" si="405"/>
        <v>0</v>
      </c>
      <c r="CY424">
        <f t="shared" ref="CY424:CY431" si="406">((S424*BZ424)/100)</f>
        <v>9442.9580000000005</v>
      </c>
      <c r="CZ424">
        <f t="shared" ref="CZ424:CZ431" si="407">((S424*CA424)/100)</f>
        <v>1348.9939999999999</v>
      </c>
      <c r="DC424" t="s">
        <v>3</v>
      </c>
      <c r="DD424" t="s">
        <v>20</v>
      </c>
      <c r="DE424" t="s">
        <v>20</v>
      </c>
      <c r="DF424" t="s">
        <v>20</v>
      </c>
      <c r="DG424" t="s">
        <v>20</v>
      </c>
      <c r="DH424" t="s">
        <v>3</v>
      </c>
      <c r="DI424" t="s">
        <v>20</v>
      </c>
      <c r="DJ424" t="s">
        <v>20</v>
      </c>
      <c r="DK424" t="s">
        <v>3</v>
      </c>
      <c r="DL424" t="s">
        <v>3</v>
      </c>
      <c r="DM424" t="s">
        <v>3</v>
      </c>
      <c r="DN424">
        <v>0</v>
      </c>
      <c r="DO424">
        <v>0</v>
      </c>
      <c r="DP424">
        <v>1</v>
      </c>
      <c r="DQ424">
        <v>1</v>
      </c>
      <c r="DU424">
        <v>16987630</v>
      </c>
      <c r="DV424" t="s">
        <v>53</v>
      </c>
      <c r="DW424" t="s">
        <v>53</v>
      </c>
      <c r="DX424">
        <v>100</v>
      </c>
      <c r="DZ424" t="s">
        <v>3</v>
      </c>
      <c r="EA424" t="s">
        <v>3</v>
      </c>
      <c r="EB424" t="s">
        <v>3</v>
      </c>
      <c r="EC424" t="s">
        <v>3</v>
      </c>
      <c r="EE424">
        <v>1441815344</v>
      </c>
      <c r="EF424">
        <v>1</v>
      </c>
      <c r="EG424" t="s">
        <v>21</v>
      </c>
      <c r="EH424">
        <v>0</v>
      </c>
      <c r="EI424" t="s">
        <v>3</v>
      </c>
      <c r="EJ424">
        <v>4</v>
      </c>
      <c r="EK424">
        <v>0</v>
      </c>
      <c r="EL424" t="s">
        <v>22</v>
      </c>
      <c r="EM424" t="s">
        <v>23</v>
      </c>
      <c r="EO424" t="s">
        <v>3</v>
      </c>
      <c r="EQ424">
        <v>0</v>
      </c>
      <c r="ER424">
        <v>4124.9399999999996</v>
      </c>
      <c r="ES424">
        <v>0.94</v>
      </c>
      <c r="ET424">
        <v>912.11</v>
      </c>
      <c r="EU424">
        <v>578.34</v>
      </c>
      <c r="EV424">
        <v>3211.89</v>
      </c>
      <c r="EW424">
        <v>6</v>
      </c>
      <c r="EX424">
        <v>0</v>
      </c>
      <c r="EY424">
        <v>0</v>
      </c>
      <c r="FQ424">
        <v>0</v>
      </c>
      <c r="FR424">
        <f t="shared" ref="FR424:FR431" si="408">ROUND(IF(BI424=3,GM424,0),2)</f>
        <v>0</v>
      </c>
      <c r="FS424">
        <v>0</v>
      </c>
      <c r="FX424">
        <v>70</v>
      </c>
      <c r="FY424">
        <v>10</v>
      </c>
      <c r="GA424" t="s">
        <v>3</v>
      </c>
      <c r="GD424">
        <v>0</v>
      </c>
      <c r="GF424">
        <v>-619298933</v>
      </c>
      <c r="GG424">
        <v>2</v>
      </c>
      <c r="GH424">
        <v>1</v>
      </c>
      <c r="GI424">
        <v>-2</v>
      </c>
      <c r="GJ424">
        <v>0</v>
      </c>
      <c r="GK424">
        <f>ROUND(R424*(R12)/100,2)</f>
        <v>2623.35</v>
      </c>
      <c r="GL424">
        <f t="shared" ref="GL424:GL431" si="409">ROUND(IF(AND(BH424=3,BI424=3,FS424&lt;&gt;0),P424,0),2)</f>
        <v>0</v>
      </c>
      <c r="GM424">
        <f t="shared" ref="GM424:GM431" si="410">ROUND(O424+X424+Y424+GK424,2)+GX424</f>
        <v>30740.05</v>
      </c>
      <c r="GN424">
        <f t="shared" ref="GN424:GN431" si="411">IF(OR(BI424=0,BI424=1),GM424-GX424,0)</f>
        <v>0</v>
      </c>
      <c r="GO424">
        <f t="shared" ref="GO424:GO431" si="412">IF(BI424=2,GM424-GX424,0)</f>
        <v>0</v>
      </c>
      <c r="GP424">
        <f t="shared" ref="GP424:GP431" si="413">IF(BI424=4,GM424-GX424,0)</f>
        <v>30740.05</v>
      </c>
      <c r="GR424">
        <v>0</v>
      </c>
      <c r="GS424">
        <v>3</v>
      </c>
      <c r="GT424">
        <v>0</v>
      </c>
      <c r="GU424" t="s">
        <v>3</v>
      </c>
      <c r="GV424">
        <f t="shared" ref="GV424:GV431" si="414">ROUND((GT424),6)</f>
        <v>0</v>
      </c>
      <c r="GW424">
        <v>1</v>
      </c>
      <c r="GX424">
        <f t="shared" ref="GX424:GX431" si="415">ROUND(HC424*I424,2)</f>
        <v>0</v>
      </c>
      <c r="HA424">
        <v>0</v>
      </c>
      <c r="HB424">
        <v>0</v>
      </c>
      <c r="HC424">
        <f t="shared" ref="HC424:HC431" si="416">GV424*GW424</f>
        <v>0</v>
      </c>
      <c r="HE424" t="s">
        <v>3</v>
      </c>
      <c r="HF424" t="s">
        <v>3</v>
      </c>
      <c r="HM424" t="s">
        <v>3</v>
      </c>
      <c r="HN424" t="s">
        <v>3</v>
      </c>
      <c r="HO424" t="s">
        <v>3</v>
      </c>
      <c r="HP424" t="s">
        <v>3</v>
      </c>
      <c r="HQ424" t="s">
        <v>3</v>
      </c>
      <c r="IK424">
        <v>0</v>
      </c>
    </row>
    <row r="425" spans="1:245" x14ac:dyDescent="0.2">
      <c r="A425">
        <v>17</v>
      </c>
      <c r="B425">
        <v>1</v>
      </c>
      <c r="D425">
        <f>ROW(EtalonRes!A244)</f>
        <v>244</v>
      </c>
      <c r="E425" t="s">
        <v>3</v>
      </c>
      <c r="F425" t="s">
        <v>242</v>
      </c>
      <c r="G425" t="s">
        <v>243</v>
      </c>
      <c r="H425" t="s">
        <v>31</v>
      </c>
      <c r="I425">
        <f>ROUND((6+17)*15/10,9)</f>
        <v>34.5</v>
      </c>
      <c r="J425">
        <v>0</v>
      </c>
      <c r="K425">
        <f>ROUND((6+17)*15/10,9)</f>
        <v>34.5</v>
      </c>
      <c r="O425">
        <f t="shared" si="386"/>
        <v>8738.85</v>
      </c>
      <c r="P425">
        <f t="shared" si="387"/>
        <v>217.35</v>
      </c>
      <c r="Q425">
        <f t="shared" si="388"/>
        <v>0</v>
      </c>
      <c r="R425">
        <f t="shared" si="389"/>
        <v>0</v>
      </c>
      <c r="S425">
        <f t="shared" si="390"/>
        <v>8521.5</v>
      </c>
      <c r="T425">
        <f t="shared" si="391"/>
        <v>0</v>
      </c>
      <c r="U425">
        <f t="shared" si="392"/>
        <v>13.8</v>
      </c>
      <c r="V425">
        <f t="shared" si="393"/>
        <v>0</v>
      </c>
      <c r="W425">
        <f t="shared" si="394"/>
        <v>0</v>
      </c>
      <c r="X425">
        <f t="shared" si="395"/>
        <v>5965.05</v>
      </c>
      <c r="Y425">
        <f t="shared" si="395"/>
        <v>852.15</v>
      </c>
      <c r="AA425">
        <v>-1</v>
      </c>
      <c r="AB425">
        <f t="shared" si="396"/>
        <v>253.3</v>
      </c>
      <c r="AC425">
        <f>ROUND((ES425),6)</f>
        <v>6.3</v>
      </c>
      <c r="AD425">
        <f>ROUND((((ET425)-(EU425))+AE425),6)</f>
        <v>0</v>
      </c>
      <c r="AE425">
        <f>ROUND((EU425),6)</f>
        <v>0</v>
      </c>
      <c r="AF425">
        <f>ROUND((EV425),6)</f>
        <v>247</v>
      </c>
      <c r="AG425">
        <f t="shared" si="397"/>
        <v>0</v>
      </c>
      <c r="AH425">
        <f>(EW425)</f>
        <v>0.4</v>
      </c>
      <c r="AI425">
        <f>(EX425)</f>
        <v>0</v>
      </c>
      <c r="AJ425">
        <f t="shared" si="398"/>
        <v>0</v>
      </c>
      <c r="AK425">
        <v>253.3</v>
      </c>
      <c r="AL425">
        <v>6.3</v>
      </c>
      <c r="AM425">
        <v>0</v>
      </c>
      <c r="AN425">
        <v>0</v>
      </c>
      <c r="AO425">
        <v>247</v>
      </c>
      <c r="AP425">
        <v>0</v>
      </c>
      <c r="AQ425">
        <v>0.4</v>
      </c>
      <c r="AR425">
        <v>0</v>
      </c>
      <c r="AS425">
        <v>0</v>
      </c>
      <c r="AT425">
        <v>70</v>
      </c>
      <c r="AU425">
        <v>10</v>
      </c>
      <c r="AV425">
        <v>1</v>
      </c>
      <c r="AW425">
        <v>1</v>
      </c>
      <c r="AZ425">
        <v>1</v>
      </c>
      <c r="BA425">
        <v>1</v>
      </c>
      <c r="BB425">
        <v>1</v>
      </c>
      <c r="BC425">
        <v>1</v>
      </c>
      <c r="BD425" t="s">
        <v>3</v>
      </c>
      <c r="BE425" t="s">
        <v>3</v>
      </c>
      <c r="BF425" t="s">
        <v>3</v>
      </c>
      <c r="BG425" t="s">
        <v>3</v>
      </c>
      <c r="BH425">
        <v>0</v>
      </c>
      <c r="BI425">
        <v>4</v>
      </c>
      <c r="BJ425" t="s">
        <v>244</v>
      </c>
      <c r="BM425">
        <v>0</v>
      </c>
      <c r="BN425">
        <v>0</v>
      </c>
      <c r="BO425" t="s">
        <v>3</v>
      </c>
      <c r="BP425">
        <v>0</v>
      </c>
      <c r="BQ425">
        <v>1</v>
      </c>
      <c r="BR425">
        <v>0</v>
      </c>
      <c r="BS425">
        <v>1</v>
      </c>
      <c r="BT425">
        <v>1</v>
      </c>
      <c r="BU425">
        <v>1</v>
      </c>
      <c r="BV425">
        <v>1</v>
      </c>
      <c r="BW425">
        <v>1</v>
      </c>
      <c r="BX425">
        <v>1</v>
      </c>
      <c r="BY425" t="s">
        <v>3</v>
      </c>
      <c r="BZ425">
        <v>70</v>
      </c>
      <c r="CA425">
        <v>10</v>
      </c>
      <c r="CB425" t="s">
        <v>3</v>
      </c>
      <c r="CE425">
        <v>0</v>
      </c>
      <c r="CF425">
        <v>0</v>
      </c>
      <c r="CG425">
        <v>0</v>
      </c>
      <c r="CM425">
        <v>0</v>
      </c>
      <c r="CN425" t="s">
        <v>3</v>
      </c>
      <c r="CO425">
        <v>0</v>
      </c>
      <c r="CP425">
        <f t="shared" si="399"/>
        <v>8738.85</v>
      </c>
      <c r="CQ425">
        <f t="shared" si="400"/>
        <v>6.3</v>
      </c>
      <c r="CR425">
        <f>((((ET425)*BB425-(EU425)*BS425)+AE425*BS425)*AV425)</f>
        <v>0</v>
      </c>
      <c r="CS425">
        <f t="shared" si="401"/>
        <v>0</v>
      </c>
      <c r="CT425">
        <f t="shared" si="402"/>
        <v>247</v>
      </c>
      <c r="CU425">
        <f t="shared" si="403"/>
        <v>0</v>
      </c>
      <c r="CV425">
        <f t="shared" si="404"/>
        <v>0.4</v>
      </c>
      <c r="CW425">
        <f t="shared" si="405"/>
        <v>0</v>
      </c>
      <c r="CX425">
        <f t="shared" si="405"/>
        <v>0</v>
      </c>
      <c r="CY425">
        <f t="shared" si="406"/>
        <v>5965.05</v>
      </c>
      <c r="CZ425">
        <f t="shared" si="407"/>
        <v>852.15</v>
      </c>
      <c r="DC425" t="s">
        <v>3</v>
      </c>
      <c r="DD425" t="s">
        <v>3</v>
      </c>
      <c r="DE425" t="s">
        <v>3</v>
      </c>
      <c r="DF425" t="s">
        <v>3</v>
      </c>
      <c r="DG425" t="s">
        <v>3</v>
      </c>
      <c r="DH425" t="s">
        <v>3</v>
      </c>
      <c r="DI425" t="s">
        <v>3</v>
      </c>
      <c r="DJ425" t="s">
        <v>3</v>
      </c>
      <c r="DK425" t="s">
        <v>3</v>
      </c>
      <c r="DL425" t="s">
        <v>3</v>
      </c>
      <c r="DM425" t="s">
        <v>3</v>
      </c>
      <c r="DN425">
        <v>0</v>
      </c>
      <c r="DO425">
        <v>0</v>
      </c>
      <c r="DP425">
        <v>1</v>
      </c>
      <c r="DQ425">
        <v>1</v>
      </c>
      <c r="DU425">
        <v>16987630</v>
      </c>
      <c r="DV425" t="s">
        <v>31</v>
      </c>
      <c r="DW425" t="s">
        <v>31</v>
      </c>
      <c r="DX425">
        <v>10</v>
      </c>
      <c r="DZ425" t="s">
        <v>3</v>
      </c>
      <c r="EA425" t="s">
        <v>3</v>
      </c>
      <c r="EB425" t="s">
        <v>3</v>
      </c>
      <c r="EC425" t="s">
        <v>3</v>
      </c>
      <c r="EE425">
        <v>1441815344</v>
      </c>
      <c r="EF425">
        <v>1</v>
      </c>
      <c r="EG425" t="s">
        <v>21</v>
      </c>
      <c r="EH425">
        <v>0</v>
      </c>
      <c r="EI425" t="s">
        <v>3</v>
      </c>
      <c r="EJ425">
        <v>4</v>
      </c>
      <c r="EK425">
        <v>0</v>
      </c>
      <c r="EL425" t="s">
        <v>22</v>
      </c>
      <c r="EM425" t="s">
        <v>23</v>
      </c>
      <c r="EO425" t="s">
        <v>3</v>
      </c>
      <c r="EQ425">
        <v>1024</v>
      </c>
      <c r="ER425">
        <v>253.3</v>
      </c>
      <c r="ES425">
        <v>6.3</v>
      </c>
      <c r="ET425">
        <v>0</v>
      </c>
      <c r="EU425">
        <v>0</v>
      </c>
      <c r="EV425">
        <v>247</v>
      </c>
      <c r="EW425">
        <v>0.4</v>
      </c>
      <c r="EX425">
        <v>0</v>
      </c>
      <c r="EY425">
        <v>0</v>
      </c>
      <c r="FQ425">
        <v>0</v>
      </c>
      <c r="FR425">
        <f t="shared" si="408"/>
        <v>0</v>
      </c>
      <c r="FS425">
        <v>0</v>
      </c>
      <c r="FX425">
        <v>70</v>
      </c>
      <c r="FY425">
        <v>10</v>
      </c>
      <c r="GA425" t="s">
        <v>3</v>
      </c>
      <c r="GD425">
        <v>0</v>
      </c>
      <c r="GF425">
        <v>526043079</v>
      </c>
      <c r="GG425">
        <v>2</v>
      </c>
      <c r="GH425">
        <v>1</v>
      </c>
      <c r="GI425">
        <v>-2</v>
      </c>
      <c r="GJ425">
        <v>0</v>
      </c>
      <c r="GK425">
        <f>ROUND(R425*(R12)/100,2)</f>
        <v>0</v>
      </c>
      <c r="GL425">
        <f t="shared" si="409"/>
        <v>0</v>
      </c>
      <c r="GM425">
        <f t="shared" si="410"/>
        <v>15556.05</v>
      </c>
      <c r="GN425">
        <f t="shared" si="411"/>
        <v>0</v>
      </c>
      <c r="GO425">
        <f t="shared" si="412"/>
        <v>0</v>
      </c>
      <c r="GP425">
        <f t="shared" si="413"/>
        <v>15556.05</v>
      </c>
      <c r="GR425">
        <v>0</v>
      </c>
      <c r="GS425">
        <v>3</v>
      </c>
      <c r="GT425">
        <v>0</v>
      </c>
      <c r="GU425" t="s">
        <v>3</v>
      </c>
      <c r="GV425">
        <f t="shared" si="414"/>
        <v>0</v>
      </c>
      <c r="GW425">
        <v>1</v>
      </c>
      <c r="GX425">
        <f t="shared" si="415"/>
        <v>0</v>
      </c>
      <c r="HA425">
        <v>0</v>
      </c>
      <c r="HB425">
        <v>0</v>
      </c>
      <c r="HC425">
        <f t="shared" si="416"/>
        <v>0</v>
      </c>
      <c r="HE425" t="s">
        <v>3</v>
      </c>
      <c r="HF425" t="s">
        <v>3</v>
      </c>
      <c r="HM425" t="s">
        <v>3</v>
      </c>
      <c r="HN425" t="s">
        <v>3</v>
      </c>
      <c r="HO425" t="s">
        <v>3</v>
      </c>
      <c r="HP425" t="s">
        <v>3</v>
      </c>
      <c r="HQ425" t="s">
        <v>3</v>
      </c>
      <c r="IK425">
        <v>0</v>
      </c>
    </row>
    <row r="426" spans="1:245" x14ac:dyDescent="0.2">
      <c r="A426">
        <v>17</v>
      </c>
      <c r="B426">
        <v>1</v>
      </c>
      <c r="D426">
        <f>ROW(EtalonRes!A246)</f>
        <v>246</v>
      </c>
      <c r="E426" t="s">
        <v>344</v>
      </c>
      <c r="F426" t="s">
        <v>246</v>
      </c>
      <c r="G426" t="s">
        <v>247</v>
      </c>
      <c r="H426" t="s">
        <v>31</v>
      </c>
      <c r="I426">
        <f>ROUND((6+17)*15/10,9)</f>
        <v>34.5</v>
      </c>
      <c r="J426">
        <v>0</v>
      </c>
      <c r="K426">
        <f>ROUND((6+17)*15/10,9)</f>
        <v>34.5</v>
      </c>
      <c r="O426">
        <f t="shared" si="386"/>
        <v>4052.03</v>
      </c>
      <c r="P426">
        <f t="shared" si="387"/>
        <v>217.35</v>
      </c>
      <c r="Q426">
        <f t="shared" si="388"/>
        <v>0</v>
      </c>
      <c r="R426">
        <f t="shared" si="389"/>
        <v>0</v>
      </c>
      <c r="S426">
        <f t="shared" si="390"/>
        <v>3834.68</v>
      </c>
      <c r="T426">
        <f t="shared" si="391"/>
        <v>0</v>
      </c>
      <c r="U426">
        <f t="shared" si="392"/>
        <v>6.21</v>
      </c>
      <c r="V426">
        <f t="shared" si="393"/>
        <v>0</v>
      </c>
      <c r="W426">
        <f t="shared" si="394"/>
        <v>0</v>
      </c>
      <c r="X426">
        <f t="shared" si="395"/>
        <v>2684.28</v>
      </c>
      <c r="Y426">
        <f t="shared" si="395"/>
        <v>383.47</v>
      </c>
      <c r="AA426">
        <v>1471718271</v>
      </c>
      <c r="AB426">
        <f t="shared" si="396"/>
        <v>117.45</v>
      </c>
      <c r="AC426">
        <f>ROUND((ES426),6)</f>
        <v>6.3</v>
      </c>
      <c r="AD426">
        <f>ROUND((((ET426)-(EU426))+AE426),6)</f>
        <v>0</v>
      </c>
      <c r="AE426">
        <f>ROUND((EU426),6)</f>
        <v>0</v>
      </c>
      <c r="AF426">
        <f>ROUND((EV426),6)</f>
        <v>111.15</v>
      </c>
      <c r="AG426">
        <f t="shared" si="397"/>
        <v>0</v>
      </c>
      <c r="AH426">
        <f>(EW426)</f>
        <v>0.18</v>
      </c>
      <c r="AI426">
        <f>(EX426)</f>
        <v>0</v>
      </c>
      <c r="AJ426">
        <f t="shared" si="398"/>
        <v>0</v>
      </c>
      <c r="AK426">
        <v>117.45</v>
      </c>
      <c r="AL426">
        <v>6.3</v>
      </c>
      <c r="AM426">
        <v>0</v>
      </c>
      <c r="AN426">
        <v>0</v>
      </c>
      <c r="AO426">
        <v>111.15</v>
      </c>
      <c r="AP426">
        <v>0</v>
      </c>
      <c r="AQ426">
        <v>0.18</v>
      </c>
      <c r="AR426">
        <v>0</v>
      </c>
      <c r="AS426">
        <v>0</v>
      </c>
      <c r="AT426">
        <v>70</v>
      </c>
      <c r="AU426">
        <v>10</v>
      </c>
      <c r="AV426">
        <v>1</v>
      </c>
      <c r="AW426">
        <v>1</v>
      </c>
      <c r="AZ426">
        <v>1</v>
      </c>
      <c r="BA426">
        <v>1</v>
      </c>
      <c r="BB426">
        <v>1</v>
      </c>
      <c r="BC426">
        <v>1</v>
      </c>
      <c r="BD426" t="s">
        <v>3</v>
      </c>
      <c r="BE426" t="s">
        <v>3</v>
      </c>
      <c r="BF426" t="s">
        <v>3</v>
      </c>
      <c r="BG426" t="s">
        <v>3</v>
      </c>
      <c r="BH426">
        <v>0</v>
      </c>
      <c r="BI426">
        <v>4</v>
      </c>
      <c r="BJ426" t="s">
        <v>248</v>
      </c>
      <c r="BM426">
        <v>0</v>
      </c>
      <c r="BN426">
        <v>0</v>
      </c>
      <c r="BO426" t="s">
        <v>3</v>
      </c>
      <c r="BP426">
        <v>0</v>
      </c>
      <c r="BQ426">
        <v>1</v>
      </c>
      <c r="BR426">
        <v>0</v>
      </c>
      <c r="BS426">
        <v>1</v>
      </c>
      <c r="BT426">
        <v>1</v>
      </c>
      <c r="BU426">
        <v>1</v>
      </c>
      <c r="BV426">
        <v>1</v>
      </c>
      <c r="BW426">
        <v>1</v>
      </c>
      <c r="BX426">
        <v>1</v>
      </c>
      <c r="BY426" t="s">
        <v>3</v>
      </c>
      <c r="BZ426">
        <v>70</v>
      </c>
      <c r="CA426">
        <v>10</v>
      </c>
      <c r="CB426" t="s">
        <v>3</v>
      </c>
      <c r="CE426">
        <v>0</v>
      </c>
      <c r="CF426">
        <v>0</v>
      </c>
      <c r="CG426">
        <v>0</v>
      </c>
      <c r="CM426">
        <v>0</v>
      </c>
      <c r="CN426" t="s">
        <v>3</v>
      </c>
      <c r="CO426">
        <v>0</v>
      </c>
      <c r="CP426">
        <f t="shared" si="399"/>
        <v>4052.0299999999997</v>
      </c>
      <c r="CQ426">
        <f t="shared" si="400"/>
        <v>6.3</v>
      </c>
      <c r="CR426">
        <f>((((ET426)*BB426-(EU426)*BS426)+AE426*BS426)*AV426)</f>
        <v>0</v>
      </c>
      <c r="CS426">
        <f t="shared" si="401"/>
        <v>0</v>
      </c>
      <c r="CT426">
        <f t="shared" si="402"/>
        <v>111.15</v>
      </c>
      <c r="CU426">
        <f t="shared" si="403"/>
        <v>0</v>
      </c>
      <c r="CV426">
        <f t="shared" si="404"/>
        <v>0.18</v>
      </c>
      <c r="CW426">
        <f t="shared" si="405"/>
        <v>0</v>
      </c>
      <c r="CX426">
        <f t="shared" si="405"/>
        <v>0</v>
      </c>
      <c r="CY426">
        <f t="shared" si="406"/>
        <v>2684.2759999999998</v>
      </c>
      <c r="CZ426">
        <f t="shared" si="407"/>
        <v>383.46799999999996</v>
      </c>
      <c r="DC426" t="s">
        <v>3</v>
      </c>
      <c r="DD426" t="s">
        <v>3</v>
      </c>
      <c r="DE426" t="s">
        <v>3</v>
      </c>
      <c r="DF426" t="s">
        <v>3</v>
      </c>
      <c r="DG426" t="s">
        <v>3</v>
      </c>
      <c r="DH426" t="s">
        <v>3</v>
      </c>
      <c r="DI426" t="s">
        <v>3</v>
      </c>
      <c r="DJ426" t="s">
        <v>3</v>
      </c>
      <c r="DK426" t="s">
        <v>3</v>
      </c>
      <c r="DL426" t="s">
        <v>3</v>
      </c>
      <c r="DM426" t="s">
        <v>3</v>
      </c>
      <c r="DN426">
        <v>0</v>
      </c>
      <c r="DO426">
        <v>0</v>
      </c>
      <c r="DP426">
        <v>1</v>
      </c>
      <c r="DQ426">
        <v>1</v>
      </c>
      <c r="DU426">
        <v>16987630</v>
      </c>
      <c r="DV426" t="s">
        <v>31</v>
      </c>
      <c r="DW426" t="s">
        <v>31</v>
      </c>
      <c r="DX426">
        <v>10</v>
      </c>
      <c r="DZ426" t="s">
        <v>3</v>
      </c>
      <c r="EA426" t="s">
        <v>3</v>
      </c>
      <c r="EB426" t="s">
        <v>3</v>
      </c>
      <c r="EC426" t="s">
        <v>3</v>
      </c>
      <c r="EE426">
        <v>1441815344</v>
      </c>
      <c r="EF426">
        <v>1</v>
      </c>
      <c r="EG426" t="s">
        <v>21</v>
      </c>
      <c r="EH426">
        <v>0</v>
      </c>
      <c r="EI426" t="s">
        <v>3</v>
      </c>
      <c r="EJ426">
        <v>4</v>
      </c>
      <c r="EK426">
        <v>0</v>
      </c>
      <c r="EL426" t="s">
        <v>22</v>
      </c>
      <c r="EM426" t="s">
        <v>23</v>
      </c>
      <c r="EO426" t="s">
        <v>3</v>
      </c>
      <c r="EQ426">
        <v>0</v>
      </c>
      <c r="ER426">
        <v>117.45</v>
      </c>
      <c r="ES426">
        <v>6.3</v>
      </c>
      <c r="ET426">
        <v>0</v>
      </c>
      <c r="EU426">
        <v>0</v>
      </c>
      <c r="EV426">
        <v>111.15</v>
      </c>
      <c r="EW426">
        <v>0.18</v>
      </c>
      <c r="EX426">
        <v>0</v>
      </c>
      <c r="EY426">
        <v>0</v>
      </c>
      <c r="FQ426">
        <v>0</v>
      </c>
      <c r="FR426">
        <f t="shared" si="408"/>
        <v>0</v>
      </c>
      <c r="FS426">
        <v>0</v>
      </c>
      <c r="FX426">
        <v>70</v>
      </c>
      <c r="FY426">
        <v>10</v>
      </c>
      <c r="GA426" t="s">
        <v>3</v>
      </c>
      <c r="GD426">
        <v>0</v>
      </c>
      <c r="GF426">
        <v>1310870617</v>
      </c>
      <c r="GG426">
        <v>2</v>
      </c>
      <c r="GH426">
        <v>1</v>
      </c>
      <c r="GI426">
        <v>-2</v>
      </c>
      <c r="GJ426">
        <v>0</v>
      </c>
      <c r="GK426">
        <f>ROUND(R426*(R12)/100,2)</f>
        <v>0</v>
      </c>
      <c r="GL426">
        <f t="shared" si="409"/>
        <v>0</v>
      </c>
      <c r="GM426">
        <f t="shared" si="410"/>
        <v>7119.78</v>
      </c>
      <c r="GN426">
        <f t="shared" si="411"/>
        <v>0</v>
      </c>
      <c r="GO426">
        <f t="shared" si="412"/>
        <v>0</v>
      </c>
      <c r="GP426">
        <f t="shared" si="413"/>
        <v>7119.78</v>
      </c>
      <c r="GR426">
        <v>0</v>
      </c>
      <c r="GS426">
        <v>3</v>
      </c>
      <c r="GT426">
        <v>0</v>
      </c>
      <c r="GU426" t="s">
        <v>3</v>
      </c>
      <c r="GV426">
        <f t="shared" si="414"/>
        <v>0</v>
      </c>
      <c r="GW426">
        <v>1</v>
      </c>
      <c r="GX426">
        <f t="shared" si="415"/>
        <v>0</v>
      </c>
      <c r="HA426">
        <v>0</v>
      </c>
      <c r="HB426">
        <v>0</v>
      </c>
      <c r="HC426">
        <f t="shared" si="416"/>
        <v>0</v>
      </c>
      <c r="HE426" t="s">
        <v>3</v>
      </c>
      <c r="HF426" t="s">
        <v>3</v>
      </c>
      <c r="HM426" t="s">
        <v>3</v>
      </c>
      <c r="HN426" t="s">
        <v>3</v>
      </c>
      <c r="HO426" t="s">
        <v>3</v>
      </c>
      <c r="HP426" t="s">
        <v>3</v>
      </c>
      <c r="HQ426" t="s">
        <v>3</v>
      </c>
      <c r="IK426">
        <v>0</v>
      </c>
    </row>
    <row r="427" spans="1:245" x14ac:dyDescent="0.2">
      <c r="A427">
        <v>17</v>
      </c>
      <c r="B427">
        <v>1</v>
      </c>
      <c r="D427">
        <f>ROW(EtalonRes!A247)</f>
        <v>247</v>
      </c>
      <c r="E427" t="s">
        <v>3</v>
      </c>
      <c r="F427" t="s">
        <v>249</v>
      </c>
      <c r="G427" t="s">
        <v>250</v>
      </c>
      <c r="H427" t="s">
        <v>53</v>
      </c>
      <c r="I427">
        <f>ROUND((6+17)*15/100,9)</f>
        <v>3.45</v>
      </c>
      <c r="J427">
        <v>0</v>
      </c>
      <c r="K427">
        <f>ROUND((6+17)*15/100,9)</f>
        <v>3.45</v>
      </c>
      <c r="O427">
        <f t="shared" si="386"/>
        <v>1258.97</v>
      </c>
      <c r="P427">
        <f t="shared" si="387"/>
        <v>0</v>
      </c>
      <c r="Q427">
        <f t="shared" si="388"/>
        <v>0</v>
      </c>
      <c r="R427">
        <f t="shared" si="389"/>
        <v>0</v>
      </c>
      <c r="S427">
        <f t="shared" si="390"/>
        <v>1258.97</v>
      </c>
      <c r="T427">
        <f t="shared" si="391"/>
        <v>0</v>
      </c>
      <c r="U427">
        <f t="shared" si="392"/>
        <v>2.484</v>
      </c>
      <c r="V427">
        <f t="shared" si="393"/>
        <v>0</v>
      </c>
      <c r="W427">
        <f t="shared" si="394"/>
        <v>0</v>
      </c>
      <c r="X427">
        <f t="shared" si="395"/>
        <v>881.28</v>
      </c>
      <c r="Y427">
        <f t="shared" si="395"/>
        <v>125.9</v>
      </c>
      <c r="AA427">
        <v>-1</v>
      </c>
      <c r="AB427">
        <f t="shared" si="396"/>
        <v>364.92</v>
      </c>
      <c r="AC427">
        <f>ROUND(((ES427*3)),6)</f>
        <v>0</v>
      </c>
      <c r="AD427">
        <f>ROUND(((((ET427*3))-((EU427*3)))+AE427),6)</f>
        <v>0</v>
      </c>
      <c r="AE427">
        <f>ROUND(((EU427*3)),6)</f>
        <v>0</v>
      </c>
      <c r="AF427">
        <f>ROUND(((EV427*3)),6)</f>
        <v>364.92</v>
      </c>
      <c r="AG427">
        <f t="shared" si="397"/>
        <v>0</v>
      </c>
      <c r="AH427">
        <f>((EW427*3))</f>
        <v>0.72</v>
      </c>
      <c r="AI427">
        <f>((EX427*3))</f>
        <v>0</v>
      </c>
      <c r="AJ427">
        <f t="shared" si="398"/>
        <v>0</v>
      </c>
      <c r="AK427">
        <v>121.64</v>
      </c>
      <c r="AL427">
        <v>0</v>
      </c>
      <c r="AM427">
        <v>0</v>
      </c>
      <c r="AN427">
        <v>0</v>
      </c>
      <c r="AO427">
        <v>121.64</v>
      </c>
      <c r="AP427">
        <v>0</v>
      </c>
      <c r="AQ427">
        <v>0.24</v>
      </c>
      <c r="AR427">
        <v>0</v>
      </c>
      <c r="AS427">
        <v>0</v>
      </c>
      <c r="AT427">
        <v>70</v>
      </c>
      <c r="AU427">
        <v>10</v>
      </c>
      <c r="AV427">
        <v>1</v>
      </c>
      <c r="AW427">
        <v>1</v>
      </c>
      <c r="AZ427">
        <v>1</v>
      </c>
      <c r="BA427">
        <v>1</v>
      </c>
      <c r="BB427">
        <v>1</v>
      </c>
      <c r="BC427">
        <v>1</v>
      </c>
      <c r="BD427" t="s">
        <v>3</v>
      </c>
      <c r="BE427" t="s">
        <v>3</v>
      </c>
      <c r="BF427" t="s">
        <v>3</v>
      </c>
      <c r="BG427" t="s">
        <v>3</v>
      </c>
      <c r="BH427">
        <v>0</v>
      </c>
      <c r="BI427">
        <v>4</v>
      </c>
      <c r="BJ427" t="s">
        <v>251</v>
      </c>
      <c r="BM427">
        <v>0</v>
      </c>
      <c r="BN427">
        <v>0</v>
      </c>
      <c r="BO427" t="s">
        <v>3</v>
      </c>
      <c r="BP427">
        <v>0</v>
      </c>
      <c r="BQ427">
        <v>1</v>
      </c>
      <c r="BR427">
        <v>0</v>
      </c>
      <c r="BS427">
        <v>1</v>
      </c>
      <c r="BT427">
        <v>1</v>
      </c>
      <c r="BU427">
        <v>1</v>
      </c>
      <c r="BV427">
        <v>1</v>
      </c>
      <c r="BW427">
        <v>1</v>
      </c>
      <c r="BX427">
        <v>1</v>
      </c>
      <c r="BY427" t="s">
        <v>3</v>
      </c>
      <c r="BZ427">
        <v>70</v>
      </c>
      <c r="CA427">
        <v>10</v>
      </c>
      <c r="CB427" t="s">
        <v>3</v>
      </c>
      <c r="CE427">
        <v>0</v>
      </c>
      <c r="CF427">
        <v>0</v>
      </c>
      <c r="CG427">
        <v>0</v>
      </c>
      <c r="CM427">
        <v>0</v>
      </c>
      <c r="CN427" t="s">
        <v>3</v>
      </c>
      <c r="CO427">
        <v>0</v>
      </c>
      <c r="CP427">
        <f t="shared" si="399"/>
        <v>1258.97</v>
      </c>
      <c r="CQ427">
        <f t="shared" si="400"/>
        <v>0</v>
      </c>
      <c r="CR427">
        <f>(((((ET427*3))*BB427-((EU427*3))*BS427)+AE427*BS427)*AV427)</f>
        <v>0</v>
      </c>
      <c r="CS427">
        <f t="shared" si="401"/>
        <v>0</v>
      </c>
      <c r="CT427">
        <f t="shared" si="402"/>
        <v>364.92</v>
      </c>
      <c r="CU427">
        <f t="shared" si="403"/>
        <v>0</v>
      </c>
      <c r="CV427">
        <f t="shared" si="404"/>
        <v>0.72</v>
      </c>
      <c r="CW427">
        <f t="shared" si="405"/>
        <v>0</v>
      </c>
      <c r="CX427">
        <f t="shared" si="405"/>
        <v>0</v>
      </c>
      <c r="CY427">
        <f t="shared" si="406"/>
        <v>881.27900000000011</v>
      </c>
      <c r="CZ427">
        <f t="shared" si="407"/>
        <v>125.89700000000001</v>
      </c>
      <c r="DC427" t="s">
        <v>3</v>
      </c>
      <c r="DD427" t="s">
        <v>163</v>
      </c>
      <c r="DE427" t="s">
        <v>163</v>
      </c>
      <c r="DF427" t="s">
        <v>163</v>
      </c>
      <c r="DG427" t="s">
        <v>163</v>
      </c>
      <c r="DH427" t="s">
        <v>3</v>
      </c>
      <c r="DI427" t="s">
        <v>163</v>
      </c>
      <c r="DJ427" t="s">
        <v>163</v>
      </c>
      <c r="DK427" t="s">
        <v>3</v>
      </c>
      <c r="DL427" t="s">
        <v>3</v>
      </c>
      <c r="DM427" t="s">
        <v>3</v>
      </c>
      <c r="DN427">
        <v>0</v>
      </c>
      <c r="DO427">
        <v>0</v>
      </c>
      <c r="DP427">
        <v>1</v>
      </c>
      <c r="DQ427">
        <v>1</v>
      </c>
      <c r="DU427">
        <v>16987630</v>
      </c>
      <c r="DV427" t="s">
        <v>53</v>
      </c>
      <c r="DW427" t="s">
        <v>53</v>
      </c>
      <c r="DX427">
        <v>100</v>
      </c>
      <c r="DZ427" t="s">
        <v>3</v>
      </c>
      <c r="EA427" t="s">
        <v>3</v>
      </c>
      <c r="EB427" t="s">
        <v>3</v>
      </c>
      <c r="EC427" t="s">
        <v>3</v>
      </c>
      <c r="EE427">
        <v>1441815344</v>
      </c>
      <c r="EF427">
        <v>1</v>
      </c>
      <c r="EG427" t="s">
        <v>21</v>
      </c>
      <c r="EH427">
        <v>0</v>
      </c>
      <c r="EI427" t="s">
        <v>3</v>
      </c>
      <c r="EJ427">
        <v>4</v>
      </c>
      <c r="EK427">
        <v>0</v>
      </c>
      <c r="EL427" t="s">
        <v>22</v>
      </c>
      <c r="EM427" t="s">
        <v>23</v>
      </c>
      <c r="EO427" t="s">
        <v>3</v>
      </c>
      <c r="EQ427">
        <v>1024</v>
      </c>
      <c r="ER427">
        <v>121.64</v>
      </c>
      <c r="ES427">
        <v>0</v>
      </c>
      <c r="ET427">
        <v>0</v>
      </c>
      <c r="EU427">
        <v>0</v>
      </c>
      <c r="EV427">
        <v>121.64</v>
      </c>
      <c r="EW427">
        <v>0.24</v>
      </c>
      <c r="EX427">
        <v>0</v>
      </c>
      <c r="EY427">
        <v>0</v>
      </c>
      <c r="FQ427">
        <v>0</v>
      </c>
      <c r="FR427">
        <f t="shared" si="408"/>
        <v>0</v>
      </c>
      <c r="FS427">
        <v>0</v>
      </c>
      <c r="FX427">
        <v>70</v>
      </c>
      <c r="FY427">
        <v>10</v>
      </c>
      <c r="GA427" t="s">
        <v>3</v>
      </c>
      <c r="GD427">
        <v>0</v>
      </c>
      <c r="GF427">
        <v>1019270866</v>
      </c>
      <c r="GG427">
        <v>2</v>
      </c>
      <c r="GH427">
        <v>1</v>
      </c>
      <c r="GI427">
        <v>-2</v>
      </c>
      <c r="GJ427">
        <v>0</v>
      </c>
      <c r="GK427">
        <f>ROUND(R427*(R12)/100,2)</f>
        <v>0</v>
      </c>
      <c r="GL427">
        <f t="shared" si="409"/>
        <v>0</v>
      </c>
      <c r="GM427">
        <f t="shared" si="410"/>
        <v>2266.15</v>
      </c>
      <c r="GN427">
        <f t="shared" si="411"/>
        <v>0</v>
      </c>
      <c r="GO427">
        <f t="shared" si="412"/>
        <v>0</v>
      </c>
      <c r="GP427">
        <f t="shared" si="413"/>
        <v>2266.15</v>
      </c>
      <c r="GR427">
        <v>0</v>
      </c>
      <c r="GS427">
        <v>3</v>
      </c>
      <c r="GT427">
        <v>0</v>
      </c>
      <c r="GU427" t="s">
        <v>3</v>
      </c>
      <c r="GV427">
        <f t="shared" si="414"/>
        <v>0</v>
      </c>
      <c r="GW427">
        <v>1</v>
      </c>
      <c r="GX427">
        <f t="shared" si="415"/>
        <v>0</v>
      </c>
      <c r="HA427">
        <v>0</v>
      </c>
      <c r="HB427">
        <v>0</v>
      </c>
      <c r="HC427">
        <f t="shared" si="416"/>
        <v>0</v>
      </c>
      <c r="HE427" t="s">
        <v>3</v>
      </c>
      <c r="HF427" t="s">
        <v>3</v>
      </c>
      <c r="HM427" t="s">
        <v>3</v>
      </c>
      <c r="HN427" t="s">
        <v>3</v>
      </c>
      <c r="HO427" t="s">
        <v>3</v>
      </c>
      <c r="HP427" t="s">
        <v>3</v>
      </c>
      <c r="HQ427" t="s">
        <v>3</v>
      </c>
      <c r="IK427">
        <v>0</v>
      </c>
    </row>
    <row r="428" spans="1:245" x14ac:dyDescent="0.2">
      <c r="A428">
        <v>17</v>
      </c>
      <c r="B428">
        <v>1</v>
      </c>
      <c r="D428">
        <f>ROW(EtalonRes!A249)</f>
        <v>249</v>
      </c>
      <c r="E428" t="s">
        <v>345</v>
      </c>
      <c r="F428" t="s">
        <v>346</v>
      </c>
      <c r="G428" t="s">
        <v>347</v>
      </c>
      <c r="H428" t="s">
        <v>36</v>
      </c>
      <c r="I428">
        <f>ROUND(15,9)</f>
        <v>15</v>
      </c>
      <c r="J428">
        <v>0</v>
      </c>
      <c r="K428">
        <f>ROUND(15,9)</f>
        <v>15</v>
      </c>
      <c r="O428">
        <f t="shared" si="386"/>
        <v>8845.2000000000007</v>
      </c>
      <c r="P428">
        <f t="shared" si="387"/>
        <v>75.599999999999994</v>
      </c>
      <c r="Q428">
        <f t="shared" si="388"/>
        <v>0</v>
      </c>
      <c r="R428">
        <f t="shared" si="389"/>
        <v>0</v>
      </c>
      <c r="S428">
        <f t="shared" si="390"/>
        <v>8769.6</v>
      </c>
      <c r="T428">
        <f t="shared" si="391"/>
        <v>0</v>
      </c>
      <c r="U428">
        <f t="shared" si="392"/>
        <v>15.600000000000001</v>
      </c>
      <c r="V428">
        <f t="shared" si="393"/>
        <v>0</v>
      </c>
      <c r="W428">
        <f t="shared" si="394"/>
        <v>0</v>
      </c>
      <c r="X428">
        <f t="shared" si="395"/>
        <v>6138.72</v>
      </c>
      <c r="Y428">
        <f t="shared" si="395"/>
        <v>876.96</v>
      </c>
      <c r="AA428">
        <v>1471718271</v>
      </c>
      <c r="AB428">
        <f t="shared" si="396"/>
        <v>589.67999999999995</v>
      </c>
      <c r="AC428">
        <f>ROUND(((ES428*4)),6)</f>
        <v>5.04</v>
      </c>
      <c r="AD428">
        <f>ROUND(((((ET428*4))-((EU428*4)))+AE428),6)</f>
        <v>0</v>
      </c>
      <c r="AE428">
        <f>ROUND(((EU428*4)),6)</f>
        <v>0</v>
      </c>
      <c r="AF428">
        <f>ROUND(((EV428*4)),6)</f>
        <v>584.64</v>
      </c>
      <c r="AG428">
        <f t="shared" si="397"/>
        <v>0</v>
      </c>
      <c r="AH428">
        <f>((EW428*4))</f>
        <v>1.04</v>
      </c>
      <c r="AI428">
        <f>((EX428*4))</f>
        <v>0</v>
      </c>
      <c r="AJ428">
        <f t="shared" si="398"/>
        <v>0</v>
      </c>
      <c r="AK428">
        <v>147.41999999999999</v>
      </c>
      <c r="AL428">
        <v>1.26</v>
      </c>
      <c r="AM428">
        <v>0</v>
      </c>
      <c r="AN428">
        <v>0</v>
      </c>
      <c r="AO428">
        <v>146.16</v>
      </c>
      <c r="AP428">
        <v>0</v>
      </c>
      <c r="AQ428">
        <v>0.26</v>
      </c>
      <c r="AR428">
        <v>0</v>
      </c>
      <c r="AS428">
        <v>0</v>
      </c>
      <c r="AT428">
        <v>70</v>
      </c>
      <c r="AU428">
        <v>10</v>
      </c>
      <c r="AV428">
        <v>1</v>
      </c>
      <c r="AW428">
        <v>1</v>
      </c>
      <c r="AZ428">
        <v>1</v>
      </c>
      <c r="BA428">
        <v>1</v>
      </c>
      <c r="BB428">
        <v>1</v>
      </c>
      <c r="BC428">
        <v>1</v>
      </c>
      <c r="BD428" t="s">
        <v>3</v>
      </c>
      <c r="BE428" t="s">
        <v>3</v>
      </c>
      <c r="BF428" t="s">
        <v>3</v>
      </c>
      <c r="BG428" t="s">
        <v>3</v>
      </c>
      <c r="BH428">
        <v>0</v>
      </c>
      <c r="BI428">
        <v>4</v>
      </c>
      <c r="BJ428" t="s">
        <v>348</v>
      </c>
      <c r="BM428">
        <v>0</v>
      </c>
      <c r="BN428">
        <v>0</v>
      </c>
      <c r="BO428" t="s">
        <v>3</v>
      </c>
      <c r="BP428">
        <v>0</v>
      </c>
      <c r="BQ428">
        <v>1</v>
      </c>
      <c r="BR428">
        <v>0</v>
      </c>
      <c r="BS428">
        <v>1</v>
      </c>
      <c r="BT428">
        <v>1</v>
      </c>
      <c r="BU428">
        <v>1</v>
      </c>
      <c r="BV428">
        <v>1</v>
      </c>
      <c r="BW428">
        <v>1</v>
      </c>
      <c r="BX428">
        <v>1</v>
      </c>
      <c r="BY428" t="s">
        <v>3</v>
      </c>
      <c r="BZ428">
        <v>70</v>
      </c>
      <c r="CA428">
        <v>10</v>
      </c>
      <c r="CB428" t="s">
        <v>3</v>
      </c>
      <c r="CE428">
        <v>0</v>
      </c>
      <c r="CF428">
        <v>0</v>
      </c>
      <c r="CG428">
        <v>0</v>
      </c>
      <c r="CM428">
        <v>0</v>
      </c>
      <c r="CN428" t="s">
        <v>3</v>
      </c>
      <c r="CO428">
        <v>0</v>
      </c>
      <c r="CP428">
        <f t="shared" si="399"/>
        <v>8845.2000000000007</v>
      </c>
      <c r="CQ428">
        <f t="shared" si="400"/>
        <v>5.04</v>
      </c>
      <c r="CR428">
        <f>(((((ET428*4))*BB428-((EU428*4))*BS428)+AE428*BS428)*AV428)</f>
        <v>0</v>
      </c>
      <c r="CS428">
        <f t="shared" si="401"/>
        <v>0</v>
      </c>
      <c r="CT428">
        <f t="shared" si="402"/>
        <v>584.64</v>
      </c>
      <c r="CU428">
        <f t="shared" si="403"/>
        <v>0</v>
      </c>
      <c r="CV428">
        <f t="shared" si="404"/>
        <v>1.04</v>
      </c>
      <c r="CW428">
        <f t="shared" si="405"/>
        <v>0</v>
      </c>
      <c r="CX428">
        <f t="shared" si="405"/>
        <v>0</v>
      </c>
      <c r="CY428">
        <f t="shared" si="406"/>
        <v>6138.72</v>
      </c>
      <c r="CZ428">
        <f t="shared" si="407"/>
        <v>876.96</v>
      </c>
      <c r="DC428" t="s">
        <v>3</v>
      </c>
      <c r="DD428" t="s">
        <v>20</v>
      </c>
      <c r="DE428" t="s">
        <v>20</v>
      </c>
      <c r="DF428" t="s">
        <v>20</v>
      </c>
      <c r="DG428" t="s">
        <v>20</v>
      </c>
      <c r="DH428" t="s">
        <v>3</v>
      </c>
      <c r="DI428" t="s">
        <v>20</v>
      </c>
      <c r="DJ428" t="s">
        <v>20</v>
      </c>
      <c r="DK428" t="s">
        <v>3</v>
      </c>
      <c r="DL428" t="s">
        <v>3</v>
      </c>
      <c r="DM428" t="s">
        <v>3</v>
      </c>
      <c r="DN428">
        <v>0</v>
      </c>
      <c r="DO428">
        <v>0</v>
      </c>
      <c r="DP428">
        <v>1</v>
      </c>
      <c r="DQ428">
        <v>1</v>
      </c>
      <c r="DU428">
        <v>16987630</v>
      </c>
      <c r="DV428" t="s">
        <v>36</v>
      </c>
      <c r="DW428" t="s">
        <v>36</v>
      </c>
      <c r="DX428">
        <v>1</v>
      </c>
      <c r="DZ428" t="s">
        <v>3</v>
      </c>
      <c r="EA428" t="s">
        <v>3</v>
      </c>
      <c r="EB428" t="s">
        <v>3</v>
      </c>
      <c r="EC428" t="s">
        <v>3</v>
      </c>
      <c r="EE428">
        <v>1441815344</v>
      </c>
      <c r="EF428">
        <v>1</v>
      </c>
      <c r="EG428" t="s">
        <v>21</v>
      </c>
      <c r="EH428">
        <v>0</v>
      </c>
      <c r="EI428" t="s">
        <v>3</v>
      </c>
      <c r="EJ428">
        <v>4</v>
      </c>
      <c r="EK428">
        <v>0</v>
      </c>
      <c r="EL428" t="s">
        <v>22</v>
      </c>
      <c r="EM428" t="s">
        <v>23</v>
      </c>
      <c r="EO428" t="s">
        <v>3</v>
      </c>
      <c r="EQ428">
        <v>0</v>
      </c>
      <c r="ER428">
        <v>147.41999999999999</v>
      </c>
      <c r="ES428">
        <v>1.26</v>
      </c>
      <c r="ET428">
        <v>0</v>
      </c>
      <c r="EU428">
        <v>0</v>
      </c>
      <c r="EV428">
        <v>146.16</v>
      </c>
      <c r="EW428">
        <v>0.26</v>
      </c>
      <c r="EX428">
        <v>0</v>
      </c>
      <c r="EY428">
        <v>0</v>
      </c>
      <c r="FQ428">
        <v>0</v>
      </c>
      <c r="FR428">
        <f t="shared" si="408"/>
        <v>0</v>
      </c>
      <c r="FS428">
        <v>0</v>
      </c>
      <c r="FX428">
        <v>70</v>
      </c>
      <c r="FY428">
        <v>10</v>
      </c>
      <c r="GA428" t="s">
        <v>3</v>
      </c>
      <c r="GD428">
        <v>0</v>
      </c>
      <c r="GF428">
        <v>1674503205</v>
      </c>
      <c r="GG428">
        <v>2</v>
      </c>
      <c r="GH428">
        <v>1</v>
      </c>
      <c r="GI428">
        <v>-2</v>
      </c>
      <c r="GJ428">
        <v>0</v>
      </c>
      <c r="GK428">
        <f>ROUND(R428*(R12)/100,2)</f>
        <v>0</v>
      </c>
      <c r="GL428">
        <f t="shared" si="409"/>
        <v>0</v>
      </c>
      <c r="GM428">
        <f t="shared" si="410"/>
        <v>15860.88</v>
      </c>
      <c r="GN428">
        <f t="shared" si="411"/>
        <v>0</v>
      </c>
      <c r="GO428">
        <f t="shared" si="412"/>
        <v>0</v>
      </c>
      <c r="GP428">
        <f t="shared" si="413"/>
        <v>15860.88</v>
      </c>
      <c r="GR428">
        <v>0</v>
      </c>
      <c r="GS428">
        <v>3</v>
      </c>
      <c r="GT428">
        <v>0</v>
      </c>
      <c r="GU428" t="s">
        <v>3</v>
      </c>
      <c r="GV428">
        <f t="shared" si="414"/>
        <v>0</v>
      </c>
      <c r="GW428">
        <v>1</v>
      </c>
      <c r="GX428">
        <f t="shared" si="415"/>
        <v>0</v>
      </c>
      <c r="HA428">
        <v>0</v>
      </c>
      <c r="HB428">
        <v>0</v>
      </c>
      <c r="HC428">
        <f t="shared" si="416"/>
        <v>0</v>
      </c>
      <c r="HE428" t="s">
        <v>3</v>
      </c>
      <c r="HF428" t="s">
        <v>3</v>
      </c>
      <c r="HM428" t="s">
        <v>3</v>
      </c>
      <c r="HN428" t="s">
        <v>3</v>
      </c>
      <c r="HO428" t="s">
        <v>3</v>
      </c>
      <c r="HP428" t="s">
        <v>3</v>
      </c>
      <c r="HQ428" t="s">
        <v>3</v>
      </c>
      <c r="IK428">
        <v>0</v>
      </c>
    </row>
    <row r="429" spans="1:245" x14ac:dyDescent="0.2">
      <c r="A429">
        <v>17</v>
      </c>
      <c r="B429">
        <v>1</v>
      </c>
      <c r="D429">
        <f>ROW(EtalonRes!A252)</f>
        <v>252</v>
      </c>
      <c r="E429" t="s">
        <v>3</v>
      </c>
      <c r="F429" t="s">
        <v>349</v>
      </c>
      <c r="G429" t="s">
        <v>350</v>
      </c>
      <c r="H429" t="s">
        <v>36</v>
      </c>
      <c r="I429">
        <f>ROUND(2*15,9)</f>
        <v>30</v>
      </c>
      <c r="J429">
        <v>0</v>
      </c>
      <c r="K429">
        <f>ROUND(2*15,9)</f>
        <v>30</v>
      </c>
      <c r="O429">
        <f t="shared" si="386"/>
        <v>20298.599999999999</v>
      </c>
      <c r="P429">
        <f t="shared" si="387"/>
        <v>73.2</v>
      </c>
      <c r="Q429">
        <f t="shared" si="388"/>
        <v>0</v>
      </c>
      <c r="R429">
        <f t="shared" si="389"/>
        <v>0</v>
      </c>
      <c r="S429">
        <f t="shared" si="390"/>
        <v>20225.400000000001</v>
      </c>
      <c r="T429">
        <f t="shared" si="391"/>
        <v>0</v>
      </c>
      <c r="U429">
        <f t="shared" si="392"/>
        <v>28.5</v>
      </c>
      <c r="V429">
        <f t="shared" si="393"/>
        <v>0</v>
      </c>
      <c r="W429">
        <f t="shared" si="394"/>
        <v>0</v>
      </c>
      <c r="X429">
        <f t="shared" si="395"/>
        <v>14157.78</v>
      </c>
      <c r="Y429">
        <f t="shared" si="395"/>
        <v>2022.54</v>
      </c>
      <c r="AA429">
        <v>-1</v>
      </c>
      <c r="AB429">
        <f t="shared" si="396"/>
        <v>676.62</v>
      </c>
      <c r="AC429">
        <f>ROUND((ES429),6)</f>
        <v>2.44</v>
      </c>
      <c r="AD429">
        <f>ROUND((((ET429)-(EU429))+AE429),6)</f>
        <v>0</v>
      </c>
      <c r="AE429">
        <f>ROUND((EU429),6)</f>
        <v>0</v>
      </c>
      <c r="AF429">
        <f>ROUND((EV429),6)</f>
        <v>674.18</v>
      </c>
      <c r="AG429">
        <f t="shared" si="397"/>
        <v>0</v>
      </c>
      <c r="AH429">
        <f>(EW429)</f>
        <v>0.95</v>
      </c>
      <c r="AI429">
        <f>(EX429)</f>
        <v>0</v>
      </c>
      <c r="AJ429">
        <f t="shared" si="398"/>
        <v>0</v>
      </c>
      <c r="AK429">
        <v>676.62</v>
      </c>
      <c r="AL429">
        <v>2.44</v>
      </c>
      <c r="AM429">
        <v>0</v>
      </c>
      <c r="AN429">
        <v>0</v>
      </c>
      <c r="AO429">
        <v>674.18</v>
      </c>
      <c r="AP429">
        <v>0</v>
      </c>
      <c r="AQ429">
        <v>0.95</v>
      </c>
      <c r="AR429">
        <v>0</v>
      </c>
      <c r="AS429">
        <v>0</v>
      </c>
      <c r="AT429">
        <v>70</v>
      </c>
      <c r="AU429">
        <v>10</v>
      </c>
      <c r="AV429">
        <v>1</v>
      </c>
      <c r="AW429">
        <v>1</v>
      </c>
      <c r="AZ429">
        <v>1</v>
      </c>
      <c r="BA429">
        <v>1</v>
      </c>
      <c r="BB429">
        <v>1</v>
      </c>
      <c r="BC429">
        <v>1</v>
      </c>
      <c r="BD429" t="s">
        <v>3</v>
      </c>
      <c r="BE429" t="s">
        <v>3</v>
      </c>
      <c r="BF429" t="s">
        <v>3</v>
      </c>
      <c r="BG429" t="s">
        <v>3</v>
      </c>
      <c r="BH429">
        <v>0</v>
      </c>
      <c r="BI429">
        <v>4</v>
      </c>
      <c r="BJ429" t="s">
        <v>351</v>
      </c>
      <c r="BM429">
        <v>0</v>
      </c>
      <c r="BN429">
        <v>0</v>
      </c>
      <c r="BO429" t="s">
        <v>3</v>
      </c>
      <c r="BP429">
        <v>0</v>
      </c>
      <c r="BQ429">
        <v>1</v>
      </c>
      <c r="BR429">
        <v>0</v>
      </c>
      <c r="BS429">
        <v>1</v>
      </c>
      <c r="BT429">
        <v>1</v>
      </c>
      <c r="BU429">
        <v>1</v>
      </c>
      <c r="BV429">
        <v>1</v>
      </c>
      <c r="BW429">
        <v>1</v>
      </c>
      <c r="BX429">
        <v>1</v>
      </c>
      <c r="BY429" t="s">
        <v>3</v>
      </c>
      <c r="BZ429">
        <v>70</v>
      </c>
      <c r="CA429">
        <v>10</v>
      </c>
      <c r="CB429" t="s">
        <v>3</v>
      </c>
      <c r="CE429">
        <v>0</v>
      </c>
      <c r="CF429">
        <v>0</v>
      </c>
      <c r="CG429">
        <v>0</v>
      </c>
      <c r="CM429">
        <v>0</v>
      </c>
      <c r="CN429" t="s">
        <v>3</v>
      </c>
      <c r="CO429">
        <v>0</v>
      </c>
      <c r="CP429">
        <f t="shared" si="399"/>
        <v>20298.600000000002</v>
      </c>
      <c r="CQ429">
        <f t="shared" si="400"/>
        <v>2.44</v>
      </c>
      <c r="CR429">
        <f>((((ET429)*BB429-(EU429)*BS429)+AE429*BS429)*AV429)</f>
        <v>0</v>
      </c>
      <c r="CS429">
        <f t="shared" si="401"/>
        <v>0</v>
      </c>
      <c r="CT429">
        <f t="shared" si="402"/>
        <v>674.18</v>
      </c>
      <c r="CU429">
        <f t="shared" si="403"/>
        <v>0</v>
      </c>
      <c r="CV429">
        <f t="shared" si="404"/>
        <v>0.95</v>
      </c>
      <c r="CW429">
        <f t="shared" si="405"/>
        <v>0</v>
      </c>
      <c r="CX429">
        <f t="shared" si="405"/>
        <v>0</v>
      </c>
      <c r="CY429">
        <f t="shared" si="406"/>
        <v>14157.78</v>
      </c>
      <c r="CZ429">
        <f t="shared" si="407"/>
        <v>2022.54</v>
      </c>
      <c r="DC429" t="s">
        <v>3</v>
      </c>
      <c r="DD429" t="s">
        <v>3</v>
      </c>
      <c r="DE429" t="s">
        <v>3</v>
      </c>
      <c r="DF429" t="s">
        <v>3</v>
      </c>
      <c r="DG429" t="s">
        <v>3</v>
      </c>
      <c r="DH429" t="s">
        <v>3</v>
      </c>
      <c r="DI429" t="s">
        <v>3</v>
      </c>
      <c r="DJ429" t="s">
        <v>3</v>
      </c>
      <c r="DK429" t="s">
        <v>3</v>
      </c>
      <c r="DL429" t="s">
        <v>3</v>
      </c>
      <c r="DM429" t="s">
        <v>3</v>
      </c>
      <c r="DN429">
        <v>0</v>
      </c>
      <c r="DO429">
        <v>0</v>
      </c>
      <c r="DP429">
        <v>1</v>
      </c>
      <c r="DQ429">
        <v>1</v>
      </c>
      <c r="DU429">
        <v>16987630</v>
      </c>
      <c r="DV429" t="s">
        <v>36</v>
      </c>
      <c r="DW429" t="s">
        <v>36</v>
      </c>
      <c r="DX429">
        <v>1</v>
      </c>
      <c r="DZ429" t="s">
        <v>3</v>
      </c>
      <c r="EA429" t="s">
        <v>3</v>
      </c>
      <c r="EB429" t="s">
        <v>3</v>
      </c>
      <c r="EC429" t="s">
        <v>3</v>
      </c>
      <c r="EE429">
        <v>1441815344</v>
      </c>
      <c r="EF429">
        <v>1</v>
      </c>
      <c r="EG429" t="s">
        <v>21</v>
      </c>
      <c r="EH429">
        <v>0</v>
      </c>
      <c r="EI429" t="s">
        <v>3</v>
      </c>
      <c r="EJ429">
        <v>4</v>
      </c>
      <c r="EK429">
        <v>0</v>
      </c>
      <c r="EL429" t="s">
        <v>22</v>
      </c>
      <c r="EM429" t="s">
        <v>23</v>
      </c>
      <c r="EO429" t="s">
        <v>3</v>
      </c>
      <c r="EQ429">
        <v>1311744</v>
      </c>
      <c r="ER429">
        <v>676.62</v>
      </c>
      <c r="ES429">
        <v>2.44</v>
      </c>
      <c r="ET429">
        <v>0</v>
      </c>
      <c r="EU429">
        <v>0</v>
      </c>
      <c r="EV429">
        <v>674.18</v>
      </c>
      <c r="EW429">
        <v>0.95</v>
      </c>
      <c r="EX429">
        <v>0</v>
      </c>
      <c r="EY429">
        <v>0</v>
      </c>
      <c r="FQ429">
        <v>0</v>
      </c>
      <c r="FR429">
        <f t="shared" si="408"/>
        <v>0</v>
      </c>
      <c r="FS429">
        <v>0</v>
      </c>
      <c r="FX429">
        <v>70</v>
      </c>
      <c r="FY429">
        <v>10</v>
      </c>
      <c r="GA429" t="s">
        <v>3</v>
      </c>
      <c r="GD429">
        <v>0</v>
      </c>
      <c r="GF429">
        <v>-664365948</v>
      </c>
      <c r="GG429">
        <v>2</v>
      </c>
      <c r="GH429">
        <v>1</v>
      </c>
      <c r="GI429">
        <v>-2</v>
      </c>
      <c r="GJ429">
        <v>0</v>
      </c>
      <c r="GK429">
        <f>ROUND(R429*(R12)/100,2)</f>
        <v>0</v>
      </c>
      <c r="GL429">
        <f t="shared" si="409"/>
        <v>0</v>
      </c>
      <c r="GM429">
        <f t="shared" si="410"/>
        <v>36478.92</v>
      </c>
      <c r="GN429">
        <f t="shared" si="411"/>
        <v>0</v>
      </c>
      <c r="GO429">
        <f t="shared" si="412"/>
        <v>0</v>
      </c>
      <c r="GP429">
        <f t="shared" si="413"/>
        <v>36478.92</v>
      </c>
      <c r="GR429">
        <v>0</v>
      </c>
      <c r="GS429">
        <v>3</v>
      </c>
      <c r="GT429">
        <v>0</v>
      </c>
      <c r="GU429" t="s">
        <v>3</v>
      </c>
      <c r="GV429">
        <f t="shared" si="414"/>
        <v>0</v>
      </c>
      <c r="GW429">
        <v>1</v>
      </c>
      <c r="GX429">
        <f t="shared" si="415"/>
        <v>0</v>
      </c>
      <c r="HA429">
        <v>0</v>
      </c>
      <c r="HB429">
        <v>0</v>
      </c>
      <c r="HC429">
        <f t="shared" si="416"/>
        <v>0</v>
      </c>
      <c r="HE429" t="s">
        <v>3</v>
      </c>
      <c r="HF429" t="s">
        <v>3</v>
      </c>
      <c r="HM429" t="s">
        <v>3</v>
      </c>
      <c r="HN429" t="s">
        <v>3</v>
      </c>
      <c r="HO429" t="s">
        <v>3</v>
      </c>
      <c r="HP429" t="s">
        <v>3</v>
      </c>
      <c r="HQ429" t="s">
        <v>3</v>
      </c>
      <c r="IK429">
        <v>0</v>
      </c>
    </row>
    <row r="430" spans="1:245" x14ac:dyDescent="0.2">
      <c r="A430">
        <v>17</v>
      </c>
      <c r="B430">
        <v>1</v>
      </c>
      <c r="D430">
        <f>ROW(EtalonRes!A255)</f>
        <v>255</v>
      </c>
      <c r="E430" t="s">
        <v>3</v>
      </c>
      <c r="F430" t="s">
        <v>252</v>
      </c>
      <c r="G430" t="s">
        <v>253</v>
      </c>
      <c r="H430" t="s">
        <v>36</v>
      </c>
      <c r="I430">
        <f>ROUND((30+30)*15,9)</f>
        <v>900</v>
      </c>
      <c r="J430">
        <v>0</v>
      </c>
      <c r="K430">
        <f>ROUND((30+30)*15,9)</f>
        <v>900</v>
      </c>
      <c r="O430">
        <f t="shared" si="386"/>
        <v>111474</v>
      </c>
      <c r="P430">
        <f t="shared" si="387"/>
        <v>324</v>
      </c>
      <c r="Q430">
        <f t="shared" si="388"/>
        <v>0</v>
      </c>
      <c r="R430">
        <f t="shared" si="389"/>
        <v>0</v>
      </c>
      <c r="S430">
        <f t="shared" si="390"/>
        <v>111150</v>
      </c>
      <c r="T430">
        <f t="shared" si="391"/>
        <v>0</v>
      </c>
      <c r="U430">
        <f t="shared" si="392"/>
        <v>180</v>
      </c>
      <c r="V430">
        <f t="shared" si="393"/>
        <v>0</v>
      </c>
      <c r="W430">
        <f t="shared" si="394"/>
        <v>0</v>
      </c>
      <c r="X430">
        <f t="shared" si="395"/>
        <v>77805</v>
      </c>
      <c r="Y430">
        <f t="shared" si="395"/>
        <v>11115</v>
      </c>
      <c r="AA430">
        <v>-1</v>
      </c>
      <c r="AB430">
        <f t="shared" si="396"/>
        <v>123.86</v>
      </c>
      <c r="AC430">
        <f>ROUND(((ES430*2)),6)</f>
        <v>0.36</v>
      </c>
      <c r="AD430">
        <f>ROUND(((((ET430*2))-((EU430*2)))+AE430),6)</f>
        <v>0</v>
      </c>
      <c r="AE430">
        <f>ROUND(((EU430*2)),6)</f>
        <v>0</v>
      </c>
      <c r="AF430">
        <f>ROUND(((EV430*2)),6)</f>
        <v>123.5</v>
      </c>
      <c r="AG430">
        <f t="shared" si="397"/>
        <v>0</v>
      </c>
      <c r="AH430">
        <f>((EW430*2))</f>
        <v>0.2</v>
      </c>
      <c r="AI430">
        <f>((EX430*2))</f>
        <v>0</v>
      </c>
      <c r="AJ430">
        <f t="shared" si="398"/>
        <v>0</v>
      </c>
      <c r="AK430">
        <v>61.93</v>
      </c>
      <c r="AL430">
        <v>0.18</v>
      </c>
      <c r="AM430">
        <v>0</v>
      </c>
      <c r="AN430">
        <v>0</v>
      </c>
      <c r="AO430">
        <v>61.75</v>
      </c>
      <c r="AP430">
        <v>0</v>
      </c>
      <c r="AQ430">
        <v>0.1</v>
      </c>
      <c r="AR430">
        <v>0</v>
      </c>
      <c r="AS430">
        <v>0</v>
      </c>
      <c r="AT430">
        <v>70</v>
      </c>
      <c r="AU430">
        <v>10</v>
      </c>
      <c r="AV430">
        <v>1</v>
      </c>
      <c r="AW430">
        <v>1</v>
      </c>
      <c r="AZ430">
        <v>1</v>
      </c>
      <c r="BA430">
        <v>1</v>
      </c>
      <c r="BB430">
        <v>1</v>
      </c>
      <c r="BC430">
        <v>1</v>
      </c>
      <c r="BD430" t="s">
        <v>3</v>
      </c>
      <c r="BE430" t="s">
        <v>3</v>
      </c>
      <c r="BF430" t="s">
        <v>3</v>
      </c>
      <c r="BG430" t="s">
        <v>3</v>
      </c>
      <c r="BH430">
        <v>0</v>
      </c>
      <c r="BI430">
        <v>4</v>
      </c>
      <c r="BJ430" t="s">
        <v>254</v>
      </c>
      <c r="BM430">
        <v>0</v>
      </c>
      <c r="BN430">
        <v>0</v>
      </c>
      <c r="BO430" t="s">
        <v>3</v>
      </c>
      <c r="BP430">
        <v>0</v>
      </c>
      <c r="BQ430">
        <v>1</v>
      </c>
      <c r="BR430">
        <v>0</v>
      </c>
      <c r="BS430">
        <v>1</v>
      </c>
      <c r="BT430">
        <v>1</v>
      </c>
      <c r="BU430">
        <v>1</v>
      </c>
      <c r="BV430">
        <v>1</v>
      </c>
      <c r="BW430">
        <v>1</v>
      </c>
      <c r="BX430">
        <v>1</v>
      </c>
      <c r="BY430" t="s">
        <v>3</v>
      </c>
      <c r="BZ430">
        <v>70</v>
      </c>
      <c r="CA430">
        <v>10</v>
      </c>
      <c r="CB430" t="s">
        <v>3</v>
      </c>
      <c r="CE430">
        <v>0</v>
      </c>
      <c r="CF430">
        <v>0</v>
      </c>
      <c r="CG430">
        <v>0</v>
      </c>
      <c r="CM430">
        <v>0</v>
      </c>
      <c r="CN430" t="s">
        <v>3</v>
      </c>
      <c r="CO430">
        <v>0</v>
      </c>
      <c r="CP430">
        <f t="shared" si="399"/>
        <v>111474</v>
      </c>
      <c r="CQ430">
        <f t="shared" si="400"/>
        <v>0.36</v>
      </c>
      <c r="CR430">
        <f>(((((ET430*2))*BB430-((EU430*2))*BS430)+AE430*BS430)*AV430)</f>
        <v>0</v>
      </c>
      <c r="CS430">
        <f t="shared" si="401"/>
        <v>0</v>
      </c>
      <c r="CT430">
        <f t="shared" si="402"/>
        <v>123.5</v>
      </c>
      <c r="CU430">
        <f t="shared" si="403"/>
        <v>0</v>
      </c>
      <c r="CV430">
        <f t="shared" si="404"/>
        <v>0.2</v>
      </c>
      <c r="CW430">
        <f t="shared" si="405"/>
        <v>0</v>
      </c>
      <c r="CX430">
        <f t="shared" si="405"/>
        <v>0</v>
      </c>
      <c r="CY430">
        <f t="shared" si="406"/>
        <v>77805</v>
      </c>
      <c r="CZ430">
        <f t="shared" si="407"/>
        <v>11115</v>
      </c>
      <c r="DC430" t="s">
        <v>3</v>
      </c>
      <c r="DD430" t="s">
        <v>42</v>
      </c>
      <c r="DE430" t="s">
        <v>42</v>
      </c>
      <c r="DF430" t="s">
        <v>42</v>
      </c>
      <c r="DG430" t="s">
        <v>42</v>
      </c>
      <c r="DH430" t="s">
        <v>3</v>
      </c>
      <c r="DI430" t="s">
        <v>42</v>
      </c>
      <c r="DJ430" t="s">
        <v>42</v>
      </c>
      <c r="DK430" t="s">
        <v>3</v>
      </c>
      <c r="DL430" t="s">
        <v>3</v>
      </c>
      <c r="DM430" t="s">
        <v>3</v>
      </c>
      <c r="DN430">
        <v>0</v>
      </c>
      <c r="DO430">
        <v>0</v>
      </c>
      <c r="DP430">
        <v>1</v>
      </c>
      <c r="DQ430">
        <v>1</v>
      </c>
      <c r="DU430">
        <v>16987630</v>
      </c>
      <c r="DV430" t="s">
        <v>36</v>
      </c>
      <c r="DW430" t="s">
        <v>36</v>
      </c>
      <c r="DX430">
        <v>1</v>
      </c>
      <c r="DZ430" t="s">
        <v>3</v>
      </c>
      <c r="EA430" t="s">
        <v>3</v>
      </c>
      <c r="EB430" t="s">
        <v>3</v>
      </c>
      <c r="EC430" t="s">
        <v>3</v>
      </c>
      <c r="EE430">
        <v>1441815344</v>
      </c>
      <c r="EF430">
        <v>1</v>
      </c>
      <c r="EG430" t="s">
        <v>21</v>
      </c>
      <c r="EH430">
        <v>0</v>
      </c>
      <c r="EI430" t="s">
        <v>3</v>
      </c>
      <c r="EJ430">
        <v>4</v>
      </c>
      <c r="EK430">
        <v>0</v>
      </c>
      <c r="EL430" t="s">
        <v>22</v>
      </c>
      <c r="EM430" t="s">
        <v>23</v>
      </c>
      <c r="EO430" t="s">
        <v>3</v>
      </c>
      <c r="EQ430">
        <v>1024</v>
      </c>
      <c r="ER430">
        <v>61.93</v>
      </c>
      <c r="ES430">
        <v>0.18</v>
      </c>
      <c r="ET430">
        <v>0</v>
      </c>
      <c r="EU430">
        <v>0</v>
      </c>
      <c r="EV430">
        <v>61.75</v>
      </c>
      <c r="EW430">
        <v>0.1</v>
      </c>
      <c r="EX430">
        <v>0</v>
      </c>
      <c r="EY430">
        <v>0</v>
      </c>
      <c r="FQ430">
        <v>0</v>
      </c>
      <c r="FR430">
        <f t="shared" si="408"/>
        <v>0</v>
      </c>
      <c r="FS430">
        <v>0</v>
      </c>
      <c r="FX430">
        <v>70</v>
      </c>
      <c r="FY430">
        <v>10</v>
      </c>
      <c r="GA430" t="s">
        <v>3</v>
      </c>
      <c r="GD430">
        <v>0</v>
      </c>
      <c r="GF430">
        <v>2049612897</v>
      </c>
      <c r="GG430">
        <v>2</v>
      </c>
      <c r="GH430">
        <v>1</v>
      </c>
      <c r="GI430">
        <v>-2</v>
      </c>
      <c r="GJ430">
        <v>0</v>
      </c>
      <c r="GK430">
        <f>ROUND(R430*(R12)/100,2)</f>
        <v>0</v>
      </c>
      <c r="GL430">
        <f t="shared" si="409"/>
        <v>0</v>
      </c>
      <c r="GM430">
        <f t="shared" si="410"/>
        <v>200394</v>
      </c>
      <c r="GN430">
        <f t="shared" si="411"/>
        <v>0</v>
      </c>
      <c r="GO430">
        <f t="shared" si="412"/>
        <v>0</v>
      </c>
      <c r="GP430">
        <f t="shared" si="413"/>
        <v>200394</v>
      </c>
      <c r="GR430">
        <v>0</v>
      </c>
      <c r="GS430">
        <v>3</v>
      </c>
      <c r="GT430">
        <v>0</v>
      </c>
      <c r="GU430" t="s">
        <v>3</v>
      </c>
      <c r="GV430">
        <f t="shared" si="414"/>
        <v>0</v>
      </c>
      <c r="GW430">
        <v>1</v>
      </c>
      <c r="GX430">
        <f t="shared" si="415"/>
        <v>0</v>
      </c>
      <c r="HA430">
        <v>0</v>
      </c>
      <c r="HB430">
        <v>0</v>
      </c>
      <c r="HC430">
        <f t="shared" si="416"/>
        <v>0</v>
      </c>
      <c r="HE430" t="s">
        <v>3</v>
      </c>
      <c r="HF430" t="s">
        <v>3</v>
      </c>
      <c r="HM430" t="s">
        <v>3</v>
      </c>
      <c r="HN430" t="s">
        <v>3</v>
      </c>
      <c r="HO430" t="s">
        <v>3</v>
      </c>
      <c r="HP430" t="s">
        <v>3</v>
      </c>
      <c r="HQ430" t="s">
        <v>3</v>
      </c>
      <c r="IK430">
        <v>0</v>
      </c>
    </row>
    <row r="431" spans="1:245" x14ac:dyDescent="0.2">
      <c r="A431">
        <v>17</v>
      </c>
      <c r="B431">
        <v>1</v>
      </c>
      <c r="D431">
        <f>ROW(EtalonRes!A260)</f>
        <v>260</v>
      </c>
      <c r="E431" t="s">
        <v>3</v>
      </c>
      <c r="F431" t="s">
        <v>255</v>
      </c>
      <c r="G431" t="s">
        <v>256</v>
      </c>
      <c r="H431" t="s">
        <v>36</v>
      </c>
      <c r="I431">
        <f>ROUND((30+30)*15,9)</f>
        <v>900</v>
      </c>
      <c r="J431">
        <v>0</v>
      </c>
      <c r="K431">
        <f>ROUND((30+30)*15,9)</f>
        <v>900</v>
      </c>
      <c r="O431">
        <f t="shared" si="386"/>
        <v>3380688</v>
      </c>
      <c r="P431">
        <f t="shared" si="387"/>
        <v>46242</v>
      </c>
      <c r="Q431">
        <f t="shared" si="388"/>
        <v>0</v>
      </c>
      <c r="R431">
        <f t="shared" si="389"/>
        <v>0</v>
      </c>
      <c r="S431">
        <f t="shared" si="390"/>
        <v>3334446</v>
      </c>
      <c r="T431">
        <f t="shared" si="391"/>
        <v>0</v>
      </c>
      <c r="U431">
        <f t="shared" si="392"/>
        <v>5400</v>
      </c>
      <c r="V431">
        <f t="shared" si="393"/>
        <v>0</v>
      </c>
      <c r="W431">
        <f t="shared" si="394"/>
        <v>0</v>
      </c>
      <c r="X431">
        <f t="shared" si="395"/>
        <v>2334112.2000000002</v>
      </c>
      <c r="Y431">
        <f t="shared" si="395"/>
        <v>333444.59999999998</v>
      </c>
      <c r="AA431">
        <v>-1</v>
      </c>
      <c r="AB431">
        <f t="shared" si="396"/>
        <v>3756.32</v>
      </c>
      <c r="AC431">
        <f>ROUND(((ES431*2)),6)</f>
        <v>51.38</v>
      </c>
      <c r="AD431">
        <f>ROUND(((((ET431*2))-((EU431*2)))+AE431),6)</f>
        <v>0</v>
      </c>
      <c r="AE431">
        <f>ROUND(((EU431*2)),6)</f>
        <v>0</v>
      </c>
      <c r="AF431">
        <f>ROUND(((EV431*2)),6)</f>
        <v>3704.94</v>
      </c>
      <c r="AG431">
        <f t="shared" si="397"/>
        <v>0</v>
      </c>
      <c r="AH431">
        <f>((EW431*2))</f>
        <v>6</v>
      </c>
      <c r="AI431">
        <f>((EX431*2))</f>
        <v>0</v>
      </c>
      <c r="AJ431">
        <f t="shared" si="398"/>
        <v>0</v>
      </c>
      <c r="AK431">
        <v>1878.16</v>
      </c>
      <c r="AL431">
        <v>25.69</v>
      </c>
      <c r="AM431">
        <v>0</v>
      </c>
      <c r="AN431">
        <v>0</v>
      </c>
      <c r="AO431">
        <v>1852.47</v>
      </c>
      <c r="AP431">
        <v>0</v>
      </c>
      <c r="AQ431">
        <v>3</v>
      </c>
      <c r="AR431">
        <v>0</v>
      </c>
      <c r="AS431">
        <v>0</v>
      </c>
      <c r="AT431">
        <v>70</v>
      </c>
      <c r="AU431">
        <v>10</v>
      </c>
      <c r="AV431">
        <v>1</v>
      </c>
      <c r="AW431">
        <v>1</v>
      </c>
      <c r="AZ431">
        <v>1</v>
      </c>
      <c r="BA431">
        <v>1</v>
      </c>
      <c r="BB431">
        <v>1</v>
      </c>
      <c r="BC431">
        <v>1</v>
      </c>
      <c r="BD431" t="s">
        <v>3</v>
      </c>
      <c r="BE431" t="s">
        <v>3</v>
      </c>
      <c r="BF431" t="s">
        <v>3</v>
      </c>
      <c r="BG431" t="s">
        <v>3</v>
      </c>
      <c r="BH431">
        <v>0</v>
      </c>
      <c r="BI431">
        <v>4</v>
      </c>
      <c r="BJ431" t="s">
        <v>257</v>
      </c>
      <c r="BM431">
        <v>0</v>
      </c>
      <c r="BN431">
        <v>0</v>
      </c>
      <c r="BO431" t="s">
        <v>3</v>
      </c>
      <c r="BP431">
        <v>0</v>
      </c>
      <c r="BQ431">
        <v>1</v>
      </c>
      <c r="BR431">
        <v>0</v>
      </c>
      <c r="BS431">
        <v>1</v>
      </c>
      <c r="BT431">
        <v>1</v>
      </c>
      <c r="BU431">
        <v>1</v>
      </c>
      <c r="BV431">
        <v>1</v>
      </c>
      <c r="BW431">
        <v>1</v>
      </c>
      <c r="BX431">
        <v>1</v>
      </c>
      <c r="BY431" t="s">
        <v>3</v>
      </c>
      <c r="BZ431">
        <v>70</v>
      </c>
      <c r="CA431">
        <v>10</v>
      </c>
      <c r="CB431" t="s">
        <v>3</v>
      </c>
      <c r="CE431">
        <v>0</v>
      </c>
      <c r="CF431">
        <v>0</v>
      </c>
      <c r="CG431">
        <v>0</v>
      </c>
      <c r="CM431">
        <v>0</v>
      </c>
      <c r="CN431" t="s">
        <v>3</v>
      </c>
      <c r="CO431">
        <v>0</v>
      </c>
      <c r="CP431">
        <f t="shared" si="399"/>
        <v>3380688</v>
      </c>
      <c r="CQ431">
        <f t="shared" si="400"/>
        <v>51.38</v>
      </c>
      <c r="CR431">
        <f>(((((ET431*2))*BB431-((EU431*2))*BS431)+AE431*BS431)*AV431)</f>
        <v>0</v>
      </c>
      <c r="CS431">
        <f t="shared" si="401"/>
        <v>0</v>
      </c>
      <c r="CT431">
        <f t="shared" si="402"/>
        <v>3704.94</v>
      </c>
      <c r="CU431">
        <f t="shared" si="403"/>
        <v>0</v>
      </c>
      <c r="CV431">
        <f t="shared" si="404"/>
        <v>6</v>
      </c>
      <c r="CW431">
        <f t="shared" si="405"/>
        <v>0</v>
      </c>
      <c r="CX431">
        <f t="shared" si="405"/>
        <v>0</v>
      </c>
      <c r="CY431">
        <f t="shared" si="406"/>
        <v>2334112.2000000002</v>
      </c>
      <c r="CZ431">
        <f t="shared" si="407"/>
        <v>333444.59999999998</v>
      </c>
      <c r="DC431" t="s">
        <v>3</v>
      </c>
      <c r="DD431" t="s">
        <v>42</v>
      </c>
      <c r="DE431" t="s">
        <v>42</v>
      </c>
      <c r="DF431" t="s">
        <v>42</v>
      </c>
      <c r="DG431" t="s">
        <v>42</v>
      </c>
      <c r="DH431" t="s">
        <v>3</v>
      </c>
      <c r="DI431" t="s">
        <v>42</v>
      </c>
      <c r="DJ431" t="s">
        <v>42</v>
      </c>
      <c r="DK431" t="s">
        <v>3</v>
      </c>
      <c r="DL431" t="s">
        <v>3</v>
      </c>
      <c r="DM431" t="s">
        <v>3</v>
      </c>
      <c r="DN431">
        <v>0</v>
      </c>
      <c r="DO431">
        <v>0</v>
      </c>
      <c r="DP431">
        <v>1</v>
      </c>
      <c r="DQ431">
        <v>1</v>
      </c>
      <c r="DU431">
        <v>16987630</v>
      </c>
      <c r="DV431" t="s">
        <v>36</v>
      </c>
      <c r="DW431" t="s">
        <v>36</v>
      </c>
      <c r="DX431">
        <v>1</v>
      </c>
      <c r="DZ431" t="s">
        <v>3</v>
      </c>
      <c r="EA431" t="s">
        <v>3</v>
      </c>
      <c r="EB431" t="s">
        <v>3</v>
      </c>
      <c r="EC431" t="s">
        <v>3</v>
      </c>
      <c r="EE431">
        <v>1441815344</v>
      </c>
      <c r="EF431">
        <v>1</v>
      </c>
      <c r="EG431" t="s">
        <v>21</v>
      </c>
      <c r="EH431">
        <v>0</v>
      </c>
      <c r="EI431" t="s">
        <v>3</v>
      </c>
      <c r="EJ431">
        <v>4</v>
      </c>
      <c r="EK431">
        <v>0</v>
      </c>
      <c r="EL431" t="s">
        <v>22</v>
      </c>
      <c r="EM431" t="s">
        <v>23</v>
      </c>
      <c r="EO431" t="s">
        <v>3</v>
      </c>
      <c r="EQ431">
        <v>1024</v>
      </c>
      <c r="ER431">
        <v>1878.16</v>
      </c>
      <c r="ES431">
        <v>25.69</v>
      </c>
      <c r="ET431">
        <v>0</v>
      </c>
      <c r="EU431">
        <v>0</v>
      </c>
      <c r="EV431">
        <v>1852.47</v>
      </c>
      <c r="EW431">
        <v>3</v>
      </c>
      <c r="EX431">
        <v>0</v>
      </c>
      <c r="EY431">
        <v>0</v>
      </c>
      <c r="FQ431">
        <v>0</v>
      </c>
      <c r="FR431">
        <f t="shared" si="408"/>
        <v>0</v>
      </c>
      <c r="FS431">
        <v>0</v>
      </c>
      <c r="FX431">
        <v>70</v>
      </c>
      <c r="FY431">
        <v>10</v>
      </c>
      <c r="GA431" t="s">
        <v>3</v>
      </c>
      <c r="GD431">
        <v>0</v>
      </c>
      <c r="GF431">
        <v>-18339376</v>
      </c>
      <c r="GG431">
        <v>2</v>
      </c>
      <c r="GH431">
        <v>1</v>
      </c>
      <c r="GI431">
        <v>-2</v>
      </c>
      <c r="GJ431">
        <v>0</v>
      </c>
      <c r="GK431">
        <f>ROUND(R431*(R12)/100,2)</f>
        <v>0</v>
      </c>
      <c r="GL431">
        <f t="shared" si="409"/>
        <v>0</v>
      </c>
      <c r="GM431">
        <f t="shared" si="410"/>
        <v>6048244.7999999998</v>
      </c>
      <c r="GN431">
        <f t="shared" si="411"/>
        <v>0</v>
      </c>
      <c r="GO431">
        <f t="shared" si="412"/>
        <v>0</v>
      </c>
      <c r="GP431">
        <f t="shared" si="413"/>
        <v>6048244.7999999998</v>
      </c>
      <c r="GR431">
        <v>0</v>
      </c>
      <c r="GS431">
        <v>3</v>
      </c>
      <c r="GT431">
        <v>0</v>
      </c>
      <c r="GU431" t="s">
        <v>3</v>
      </c>
      <c r="GV431">
        <f t="shared" si="414"/>
        <v>0</v>
      </c>
      <c r="GW431">
        <v>1</v>
      </c>
      <c r="GX431">
        <f t="shared" si="415"/>
        <v>0</v>
      </c>
      <c r="HA431">
        <v>0</v>
      </c>
      <c r="HB431">
        <v>0</v>
      </c>
      <c r="HC431">
        <f t="shared" si="416"/>
        <v>0</v>
      </c>
      <c r="HE431" t="s">
        <v>3</v>
      </c>
      <c r="HF431" t="s">
        <v>3</v>
      </c>
      <c r="HM431" t="s">
        <v>3</v>
      </c>
      <c r="HN431" t="s">
        <v>3</v>
      </c>
      <c r="HO431" t="s">
        <v>3</v>
      </c>
      <c r="HP431" t="s">
        <v>3</v>
      </c>
      <c r="HQ431" t="s">
        <v>3</v>
      </c>
      <c r="IK431">
        <v>0</v>
      </c>
    </row>
    <row r="432" spans="1:245" x14ac:dyDescent="0.2">
      <c r="A432">
        <v>19</v>
      </c>
      <c r="B432">
        <v>1</v>
      </c>
      <c r="F432" t="s">
        <v>3</v>
      </c>
      <c r="G432" t="s">
        <v>258</v>
      </c>
      <c r="H432" t="s">
        <v>3</v>
      </c>
      <c r="AA432">
        <v>1</v>
      </c>
      <c r="IK432">
        <v>0</v>
      </c>
    </row>
    <row r="433" spans="1:245" x14ac:dyDescent="0.2">
      <c r="A433">
        <v>17</v>
      </c>
      <c r="B433">
        <v>1</v>
      </c>
      <c r="D433">
        <f>ROW(EtalonRes!A262)</f>
        <v>262</v>
      </c>
      <c r="E433" t="s">
        <v>352</v>
      </c>
      <c r="F433" t="s">
        <v>260</v>
      </c>
      <c r="G433" t="s">
        <v>261</v>
      </c>
      <c r="H433" t="s">
        <v>18</v>
      </c>
      <c r="I433">
        <f>ROUND(ROUND((161*15)*0.2*0.1/100,9),9)</f>
        <v>0.48299999999999998</v>
      </c>
      <c r="J433">
        <v>0</v>
      </c>
      <c r="K433">
        <f>ROUND(ROUND((161*15)*0.2*0.1/100,9),9)</f>
        <v>0.48299999999999998</v>
      </c>
      <c r="O433">
        <f t="shared" ref="O433:O438" si="417">ROUND(CP433,2)</f>
        <v>2596.44</v>
      </c>
      <c r="P433">
        <f t="shared" ref="P433:P438" si="418">ROUND(CQ433*I433,2)</f>
        <v>10.87</v>
      </c>
      <c r="Q433">
        <f t="shared" ref="Q433:Q438" si="419">ROUND(CR433*I433,2)</f>
        <v>0</v>
      </c>
      <c r="R433">
        <f t="shared" ref="R433:R438" si="420">ROUND(CS433*I433,2)</f>
        <v>0</v>
      </c>
      <c r="S433">
        <f t="shared" ref="S433:S438" si="421">ROUND(CT433*I433,2)</f>
        <v>2585.5700000000002</v>
      </c>
      <c r="T433">
        <f t="shared" ref="T433:T438" si="422">ROUND(CU433*I433,2)</f>
        <v>0</v>
      </c>
      <c r="U433">
        <f t="shared" ref="U433:U438" si="423">CV433*I433</f>
        <v>4.83</v>
      </c>
      <c r="V433">
        <f t="shared" ref="V433:V438" si="424">CW433*I433</f>
        <v>0</v>
      </c>
      <c r="W433">
        <f t="shared" ref="W433:W438" si="425">ROUND(CX433*I433,2)</f>
        <v>0</v>
      </c>
      <c r="X433">
        <f t="shared" ref="X433:Y438" si="426">ROUND(CY433,2)</f>
        <v>1809.9</v>
      </c>
      <c r="Y433">
        <f t="shared" si="426"/>
        <v>258.56</v>
      </c>
      <c r="AA433">
        <v>1471718271</v>
      </c>
      <c r="AB433">
        <f t="shared" ref="AB433:AB438" si="427">ROUND((AC433+AD433+AF433),6)</f>
        <v>5375.66</v>
      </c>
      <c r="AC433">
        <f t="shared" ref="AC433:AC438" si="428">ROUND((ES433),6)</f>
        <v>22.51</v>
      </c>
      <c r="AD433">
        <f t="shared" ref="AD433:AD438" si="429">ROUND((((ET433)-(EU433))+AE433),6)</f>
        <v>0</v>
      </c>
      <c r="AE433">
        <f t="shared" ref="AE433:AF438" si="430">ROUND((EU433),6)</f>
        <v>0</v>
      </c>
      <c r="AF433">
        <f t="shared" si="430"/>
        <v>5353.15</v>
      </c>
      <c r="AG433">
        <f t="shared" ref="AG433:AG438" si="431">ROUND((AP433),6)</f>
        <v>0</v>
      </c>
      <c r="AH433">
        <f t="shared" ref="AH433:AI438" si="432">(EW433)</f>
        <v>10</v>
      </c>
      <c r="AI433">
        <f t="shared" si="432"/>
        <v>0</v>
      </c>
      <c r="AJ433">
        <f t="shared" ref="AJ433:AJ438" si="433">(AS433)</f>
        <v>0</v>
      </c>
      <c r="AK433">
        <v>5375.66</v>
      </c>
      <c r="AL433">
        <v>22.51</v>
      </c>
      <c r="AM433">
        <v>0</v>
      </c>
      <c r="AN433">
        <v>0</v>
      </c>
      <c r="AO433">
        <v>5353.15</v>
      </c>
      <c r="AP433">
        <v>0</v>
      </c>
      <c r="AQ433">
        <v>10</v>
      </c>
      <c r="AR433">
        <v>0</v>
      </c>
      <c r="AS433">
        <v>0</v>
      </c>
      <c r="AT433">
        <v>70</v>
      </c>
      <c r="AU433">
        <v>10</v>
      </c>
      <c r="AV433">
        <v>1</v>
      </c>
      <c r="AW433">
        <v>1</v>
      </c>
      <c r="AZ433">
        <v>1</v>
      </c>
      <c r="BA433">
        <v>1</v>
      </c>
      <c r="BB433">
        <v>1</v>
      </c>
      <c r="BC433">
        <v>1</v>
      </c>
      <c r="BD433" t="s">
        <v>3</v>
      </c>
      <c r="BE433" t="s">
        <v>3</v>
      </c>
      <c r="BF433" t="s">
        <v>3</v>
      </c>
      <c r="BG433" t="s">
        <v>3</v>
      </c>
      <c r="BH433">
        <v>0</v>
      </c>
      <c r="BI433">
        <v>4</v>
      </c>
      <c r="BJ433" t="s">
        <v>262</v>
      </c>
      <c r="BM433">
        <v>0</v>
      </c>
      <c r="BN433">
        <v>0</v>
      </c>
      <c r="BO433" t="s">
        <v>3</v>
      </c>
      <c r="BP433">
        <v>0</v>
      </c>
      <c r="BQ433">
        <v>1</v>
      </c>
      <c r="BR433">
        <v>0</v>
      </c>
      <c r="BS433">
        <v>1</v>
      </c>
      <c r="BT433">
        <v>1</v>
      </c>
      <c r="BU433">
        <v>1</v>
      </c>
      <c r="BV433">
        <v>1</v>
      </c>
      <c r="BW433">
        <v>1</v>
      </c>
      <c r="BX433">
        <v>1</v>
      </c>
      <c r="BY433" t="s">
        <v>3</v>
      </c>
      <c r="BZ433">
        <v>70</v>
      </c>
      <c r="CA433">
        <v>10</v>
      </c>
      <c r="CB433" t="s">
        <v>3</v>
      </c>
      <c r="CE433">
        <v>0</v>
      </c>
      <c r="CF433">
        <v>0</v>
      </c>
      <c r="CG433">
        <v>0</v>
      </c>
      <c r="CM433">
        <v>0</v>
      </c>
      <c r="CN433" t="s">
        <v>3</v>
      </c>
      <c r="CO433">
        <v>0</v>
      </c>
      <c r="CP433">
        <f t="shared" ref="CP433:CP438" si="434">(P433+Q433+S433)</f>
        <v>2596.44</v>
      </c>
      <c r="CQ433">
        <f t="shared" ref="CQ433:CQ438" si="435">(AC433*BC433*AW433)</f>
        <v>22.51</v>
      </c>
      <c r="CR433">
        <f t="shared" ref="CR433:CR438" si="436">((((ET433)*BB433-(EU433)*BS433)+AE433*BS433)*AV433)</f>
        <v>0</v>
      </c>
      <c r="CS433">
        <f t="shared" ref="CS433:CS438" si="437">(AE433*BS433*AV433)</f>
        <v>0</v>
      </c>
      <c r="CT433">
        <f t="shared" ref="CT433:CT438" si="438">(AF433*BA433*AV433)</f>
        <v>5353.15</v>
      </c>
      <c r="CU433">
        <f t="shared" ref="CU433:CU438" si="439">AG433</f>
        <v>0</v>
      </c>
      <c r="CV433">
        <f t="shared" ref="CV433:CV438" si="440">(AH433*AV433)</f>
        <v>10</v>
      </c>
      <c r="CW433">
        <f t="shared" ref="CW433:CX438" si="441">AI433</f>
        <v>0</v>
      </c>
      <c r="CX433">
        <f t="shared" si="441"/>
        <v>0</v>
      </c>
      <c r="CY433">
        <f t="shared" ref="CY433:CY438" si="442">((S433*BZ433)/100)</f>
        <v>1809.8990000000003</v>
      </c>
      <c r="CZ433">
        <f t="shared" ref="CZ433:CZ438" si="443">((S433*CA433)/100)</f>
        <v>258.55700000000002</v>
      </c>
      <c r="DC433" t="s">
        <v>3</v>
      </c>
      <c r="DD433" t="s">
        <v>3</v>
      </c>
      <c r="DE433" t="s">
        <v>3</v>
      </c>
      <c r="DF433" t="s">
        <v>3</v>
      </c>
      <c r="DG433" t="s">
        <v>3</v>
      </c>
      <c r="DH433" t="s">
        <v>3</v>
      </c>
      <c r="DI433" t="s">
        <v>3</v>
      </c>
      <c r="DJ433" t="s">
        <v>3</v>
      </c>
      <c r="DK433" t="s">
        <v>3</v>
      </c>
      <c r="DL433" t="s">
        <v>3</v>
      </c>
      <c r="DM433" t="s">
        <v>3</v>
      </c>
      <c r="DN433">
        <v>0</v>
      </c>
      <c r="DO433">
        <v>0</v>
      </c>
      <c r="DP433">
        <v>1</v>
      </c>
      <c r="DQ433">
        <v>1</v>
      </c>
      <c r="DU433">
        <v>1003</v>
      </c>
      <c r="DV433" t="s">
        <v>18</v>
      </c>
      <c r="DW433" t="s">
        <v>18</v>
      </c>
      <c r="DX433">
        <v>100</v>
      </c>
      <c r="DZ433" t="s">
        <v>3</v>
      </c>
      <c r="EA433" t="s">
        <v>3</v>
      </c>
      <c r="EB433" t="s">
        <v>3</v>
      </c>
      <c r="EC433" t="s">
        <v>3</v>
      </c>
      <c r="EE433">
        <v>1441815344</v>
      </c>
      <c r="EF433">
        <v>1</v>
      </c>
      <c r="EG433" t="s">
        <v>21</v>
      </c>
      <c r="EH433">
        <v>0</v>
      </c>
      <c r="EI433" t="s">
        <v>3</v>
      </c>
      <c r="EJ433">
        <v>4</v>
      </c>
      <c r="EK433">
        <v>0</v>
      </c>
      <c r="EL433" t="s">
        <v>22</v>
      </c>
      <c r="EM433" t="s">
        <v>23</v>
      </c>
      <c r="EO433" t="s">
        <v>3</v>
      </c>
      <c r="EQ433">
        <v>0</v>
      </c>
      <c r="ER433">
        <v>5375.66</v>
      </c>
      <c r="ES433">
        <v>22.51</v>
      </c>
      <c r="ET433">
        <v>0</v>
      </c>
      <c r="EU433">
        <v>0</v>
      </c>
      <c r="EV433">
        <v>5353.15</v>
      </c>
      <c r="EW433">
        <v>10</v>
      </c>
      <c r="EX433">
        <v>0</v>
      </c>
      <c r="EY433">
        <v>0</v>
      </c>
      <c r="FQ433">
        <v>0</v>
      </c>
      <c r="FR433">
        <f t="shared" ref="FR433:FR438" si="444">ROUND(IF(BI433=3,GM433,0),2)</f>
        <v>0</v>
      </c>
      <c r="FS433">
        <v>0</v>
      </c>
      <c r="FX433">
        <v>70</v>
      </c>
      <c r="FY433">
        <v>10</v>
      </c>
      <c r="GA433" t="s">
        <v>3</v>
      </c>
      <c r="GD433">
        <v>0</v>
      </c>
      <c r="GF433">
        <v>29112068</v>
      </c>
      <c r="GG433">
        <v>2</v>
      </c>
      <c r="GH433">
        <v>1</v>
      </c>
      <c r="GI433">
        <v>-2</v>
      </c>
      <c r="GJ433">
        <v>0</v>
      </c>
      <c r="GK433">
        <f>ROUND(R433*(R12)/100,2)</f>
        <v>0</v>
      </c>
      <c r="GL433">
        <f t="shared" ref="GL433:GL438" si="445">ROUND(IF(AND(BH433=3,BI433=3,FS433&lt;&gt;0),P433,0),2)</f>
        <v>0</v>
      </c>
      <c r="GM433">
        <f t="shared" ref="GM433:GM438" si="446">ROUND(O433+X433+Y433+GK433,2)+GX433</f>
        <v>4664.8999999999996</v>
      </c>
      <c r="GN433">
        <f t="shared" ref="GN433:GN438" si="447">IF(OR(BI433=0,BI433=1),GM433-GX433,0)</f>
        <v>0</v>
      </c>
      <c r="GO433">
        <f t="shared" ref="GO433:GO438" si="448">IF(BI433=2,GM433-GX433,0)</f>
        <v>0</v>
      </c>
      <c r="GP433">
        <f t="shared" ref="GP433:GP438" si="449">IF(BI433=4,GM433-GX433,0)</f>
        <v>4664.8999999999996</v>
      </c>
      <c r="GR433">
        <v>0</v>
      </c>
      <c r="GS433">
        <v>3</v>
      </c>
      <c r="GT433">
        <v>0</v>
      </c>
      <c r="GU433" t="s">
        <v>3</v>
      </c>
      <c r="GV433">
        <f t="shared" ref="GV433:GV438" si="450">ROUND((GT433),6)</f>
        <v>0</v>
      </c>
      <c r="GW433">
        <v>1</v>
      </c>
      <c r="GX433">
        <f t="shared" ref="GX433:GX438" si="451">ROUND(HC433*I433,2)</f>
        <v>0</v>
      </c>
      <c r="HA433">
        <v>0</v>
      </c>
      <c r="HB433">
        <v>0</v>
      </c>
      <c r="HC433">
        <f t="shared" ref="HC433:HC438" si="452">GV433*GW433</f>
        <v>0</v>
      </c>
      <c r="HE433" t="s">
        <v>3</v>
      </c>
      <c r="HF433" t="s">
        <v>3</v>
      </c>
      <c r="HM433" t="s">
        <v>3</v>
      </c>
      <c r="HN433" t="s">
        <v>3</v>
      </c>
      <c r="HO433" t="s">
        <v>3</v>
      </c>
      <c r="HP433" t="s">
        <v>3</v>
      </c>
      <c r="HQ433" t="s">
        <v>3</v>
      </c>
      <c r="IK433">
        <v>0</v>
      </c>
    </row>
    <row r="434" spans="1:245" x14ac:dyDescent="0.2">
      <c r="A434">
        <v>17</v>
      </c>
      <c r="B434">
        <v>1</v>
      </c>
      <c r="D434">
        <f>ROW(EtalonRes!A263)</f>
        <v>263</v>
      </c>
      <c r="E434" t="s">
        <v>3</v>
      </c>
      <c r="F434" t="s">
        <v>263</v>
      </c>
      <c r="G434" t="s">
        <v>264</v>
      </c>
      <c r="H434" t="s">
        <v>18</v>
      </c>
      <c r="I434">
        <f>ROUND(161*15*0.1/100,9)</f>
        <v>2.415</v>
      </c>
      <c r="J434">
        <v>0</v>
      </c>
      <c r="K434">
        <f>ROUND(161*15*0.1/100,9)</f>
        <v>2.415</v>
      </c>
      <c r="O434">
        <f t="shared" si="417"/>
        <v>426.63</v>
      </c>
      <c r="P434">
        <f t="shared" si="418"/>
        <v>0</v>
      </c>
      <c r="Q434">
        <f t="shared" si="419"/>
        <v>0</v>
      </c>
      <c r="R434">
        <f t="shared" si="420"/>
        <v>0</v>
      </c>
      <c r="S434">
        <f t="shared" si="421"/>
        <v>426.63</v>
      </c>
      <c r="T434">
        <f t="shared" si="422"/>
        <v>0</v>
      </c>
      <c r="U434">
        <f t="shared" si="423"/>
        <v>0.79695000000000005</v>
      </c>
      <c r="V434">
        <f t="shared" si="424"/>
        <v>0</v>
      </c>
      <c r="W434">
        <f t="shared" si="425"/>
        <v>0</v>
      </c>
      <c r="X434">
        <f t="shared" si="426"/>
        <v>298.64</v>
      </c>
      <c r="Y434">
        <f t="shared" si="426"/>
        <v>42.66</v>
      </c>
      <c r="AA434">
        <v>-1</v>
      </c>
      <c r="AB434">
        <f t="shared" si="427"/>
        <v>176.66</v>
      </c>
      <c r="AC434">
        <f t="shared" si="428"/>
        <v>0</v>
      </c>
      <c r="AD434">
        <f t="shared" si="429"/>
        <v>0</v>
      </c>
      <c r="AE434">
        <f t="shared" si="430"/>
        <v>0</v>
      </c>
      <c r="AF434">
        <f t="shared" si="430"/>
        <v>176.66</v>
      </c>
      <c r="AG434">
        <f t="shared" si="431"/>
        <v>0</v>
      </c>
      <c r="AH434">
        <f t="shared" si="432"/>
        <v>0.33</v>
      </c>
      <c r="AI434">
        <f t="shared" si="432"/>
        <v>0</v>
      </c>
      <c r="AJ434">
        <f t="shared" si="433"/>
        <v>0</v>
      </c>
      <c r="AK434">
        <v>176.66</v>
      </c>
      <c r="AL434">
        <v>0</v>
      </c>
      <c r="AM434">
        <v>0</v>
      </c>
      <c r="AN434">
        <v>0</v>
      </c>
      <c r="AO434">
        <v>176.66</v>
      </c>
      <c r="AP434">
        <v>0</v>
      </c>
      <c r="AQ434">
        <v>0.33</v>
      </c>
      <c r="AR434">
        <v>0</v>
      </c>
      <c r="AS434">
        <v>0</v>
      </c>
      <c r="AT434">
        <v>70</v>
      </c>
      <c r="AU434">
        <v>10</v>
      </c>
      <c r="AV434">
        <v>1</v>
      </c>
      <c r="AW434">
        <v>1</v>
      </c>
      <c r="AZ434">
        <v>1</v>
      </c>
      <c r="BA434">
        <v>1</v>
      </c>
      <c r="BB434">
        <v>1</v>
      </c>
      <c r="BC434">
        <v>1</v>
      </c>
      <c r="BD434" t="s">
        <v>3</v>
      </c>
      <c r="BE434" t="s">
        <v>3</v>
      </c>
      <c r="BF434" t="s">
        <v>3</v>
      </c>
      <c r="BG434" t="s">
        <v>3</v>
      </c>
      <c r="BH434">
        <v>0</v>
      </c>
      <c r="BI434">
        <v>4</v>
      </c>
      <c r="BJ434" t="s">
        <v>265</v>
      </c>
      <c r="BM434">
        <v>0</v>
      </c>
      <c r="BN434">
        <v>0</v>
      </c>
      <c r="BO434" t="s">
        <v>3</v>
      </c>
      <c r="BP434">
        <v>0</v>
      </c>
      <c r="BQ434">
        <v>1</v>
      </c>
      <c r="BR434">
        <v>0</v>
      </c>
      <c r="BS434">
        <v>1</v>
      </c>
      <c r="BT434">
        <v>1</v>
      </c>
      <c r="BU434">
        <v>1</v>
      </c>
      <c r="BV434">
        <v>1</v>
      </c>
      <c r="BW434">
        <v>1</v>
      </c>
      <c r="BX434">
        <v>1</v>
      </c>
      <c r="BY434" t="s">
        <v>3</v>
      </c>
      <c r="BZ434">
        <v>70</v>
      </c>
      <c r="CA434">
        <v>10</v>
      </c>
      <c r="CB434" t="s">
        <v>3</v>
      </c>
      <c r="CE434">
        <v>0</v>
      </c>
      <c r="CF434">
        <v>0</v>
      </c>
      <c r="CG434">
        <v>0</v>
      </c>
      <c r="CM434">
        <v>0</v>
      </c>
      <c r="CN434" t="s">
        <v>3</v>
      </c>
      <c r="CO434">
        <v>0</v>
      </c>
      <c r="CP434">
        <f t="shared" si="434"/>
        <v>426.63</v>
      </c>
      <c r="CQ434">
        <f t="shared" si="435"/>
        <v>0</v>
      </c>
      <c r="CR434">
        <f t="shared" si="436"/>
        <v>0</v>
      </c>
      <c r="CS434">
        <f t="shared" si="437"/>
        <v>0</v>
      </c>
      <c r="CT434">
        <f t="shared" si="438"/>
        <v>176.66</v>
      </c>
      <c r="CU434">
        <f t="shared" si="439"/>
        <v>0</v>
      </c>
      <c r="CV434">
        <f t="shared" si="440"/>
        <v>0.33</v>
      </c>
      <c r="CW434">
        <f t="shared" si="441"/>
        <v>0</v>
      </c>
      <c r="CX434">
        <f t="shared" si="441"/>
        <v>0</v>
      </c>
      <c r="CY434">
        <f t="shared" si="442"/>
        <v>298.64099999999996</v>
      </c>
      <c r="CZ434">
        <f t="shared" si="443"/>
        <v>42.663000000000004</v>
      </c>
      <c r="DC434" t="s">
        <v>3</v>
      </c>
      <c r="DD434" t="s">
        <v>3</v>
      </c>
      <c r="DE434" t="s">
        <v>3</v>
      </c>
      <c r="DF434" t="s">
        <v>3</v>
      </c>
      <c r="DG434" t="s">
        <v>3</v>
      </c>
      <c r="DH434" t="s">
        <v>3</v>
      </c>
      <c r="DI434" t="s">
        <v>3</v>
      </c>
      <c r="DJ434" t="s">
        <v>3</v>
      </c>
      <c r="DK434" t="s">
        <v>3</v>
      </c>
      <c r="DL434" t="s">
        <v>3</v>
      </c>
      <c r="DM434" t="s">
        <v>3</v>
      </c>
      <c r="DN434">
        <v>0</v>
      </c>
      <c r="DO434">
        <v>0</v>
      </c>
      <c r="DP434">
        <v>1</v>
      </c>
      <c r="DQ434">
        <v>1</v>
      </c>
      <c r="DU434">
        <v>1003</v>
      </c>
      <c r="DV434" t="s">
        <v>18</v>
      </c>
      <c r="DW434" t="s">
        <v>18</v>
      </c>
      <c r="DX434">
        <v>100</v>
      </c>
      <c r="DZ434" t="s">
        <v>3</v>
      </c>
      <c r="EA434" t="s">
        <v>3</v>
      </c>
      <c r="EB434" t="s">
        <v>3</v>
      </c>
      <c r="EC434" t="s">
        <v>3</v>
      </c>
      <c r="EE434">
        <v>1441815344</v>
      </c>
      <c r="EF434">
        <v>1</v>
      </c>
      <c r="EG434" t="s">
        <v>21</v>
      </c>
      <c r="EH434">
        <v>0</v>
      </c>
      <c r="EI434" t="s">
        <v>3</v>
      </c>
      <c r="EJ434">
        <v>4</v>
      </c>
      <c r="EK434">
        <v>0</v>
      </c>
      <c r="EL434" t="s">
        <v>22</v>
      </c>
      <c r="EM434" t="s">
        <v>23</v>
      </c>
      <c r="EO434" t="s">
        <v>3</v>
      </c>
      <c r="EQ434">
        <v>1024</v>
      </c>
      <c r="ER434">
        <v>176.66</v>
      </c>
      <c r="ES434">
        <v>0</v>
      </c>
      <c r="ET434">
        <v>0</v>
      </c>
      <c r="EU434">
        <v>0</v>
      </c>
      <c r="EV434">
        <v>176.66</v>
      </c>
      <c r="EW434">
        <v>0.33</v>
      </c>
      <c r="EX434">
        <v>0</v>
      </c>
      <c r="EY434">
        <v>0</v>
      </c>
      <c r="FQ434">
        <v>0</v>
      </c>
      <c r="FR434">
        <f t="shared" si="444"/>
        <v>0</v>
      </c>
      <c r="FS434">
        <v>0</v>
      </c>
      <c r="FX434">
        <v>70</v>
      </c>
      <c r="FY434">
        <v>10</v>
      </c>
      <c r="GA434" t="s">
        <v>3</v>
      </c>
      <c r="GD434">
        <v>0</v>
      </c>
      <c r="GF434">
        <v>-21109996</v>
      </c>
      <c r="GG434">
        <v>2</v>
      </c>
      <c r="GH434">
        <v>1</v>
      </c>
      <c r="GI434">
        <v>-2</v>
      </c>
      <c r="GJ434">
        <v>0</v>
      </c>
      <c r="GK434">
        <f>ROUND(R434*(R12)/100,2)</f>
        <v>0</v>
      </c>
      <c r="GL434">
        <f t="shared" si="445"/>
        <v>0</v>
      </c>
      <c r="GM434">
        <f t="shared" si="446"/>
        <v>767.93</v>
      </c>
      <c r="GN434">
        <f t="shared" si="447"/>
        <v>0</v>
      </c>
      <c r="GO434">
        <f t="shared" si="448"/>
        <v>0</v>
      </c>
      <c r="GP434">
        <f t="shared" si="449"/>
        <v>767.93</v>
      </c>
      <c r="GR434">
        <v>0</v>
      </c>
      <c r="GS434">
        <v>3</v>
      </c>
      <c r="GT434">
        <v>0</v>
      </c>
      <c r="GU434" t="s">
        <v>3</v>
      </c>
      <c r="GV434">
        <f t="shared" si="450"/>
        <v>0</v>
      </c>
      <c r="GW434">
        <v>1</v>
      </c>
      <c r="GX434">
        <f t="shared" si="451"/>
        <v>0</v>
      </c>
      <c r="HA434">
        <v>0</v>
      </c>
      <c r="HB434">
        <v>0</v>
      </c>
      <c r="HC434">
        <f t="shared" si="452"/>
        <v>0</v>
      </c>
      <c r="HE434" t="s">
        <v>3</v>
      </c>
      <c r="HF434" t="s">
        <v>3</v>
      </c>
      <c r="HM434" t="s">
        <v>3</v>
      </c>
      <c r="HN434" t="s">
        <v>3</v>
      </c>
      <c r="HO434" t="s">
        <v>3</v>
      </c>
      <c r="HP434" t="s">
        <v>3</v>
      </c>
      <c r="HQ434" t="s">
        <v>3</v>
      </c>
      <c r="IK434">
        <v>0</v>
      </c>
    </row>
    <row r="435" spans="1:245" x14ac:dyDescent="0.2">
      <c r="A435">
        <v>17</v>
      </c>
      <c r="B435">
        <v>1</v>
      </c>
      <c r="D435">
        <f>ROW(EtalonRes!A265)</f>
        <v>265</v>
      </c>
      <c r="E435" t="s">
        <v>353</v>
      </c>
      <c r="F435" t="s">
        <v>260</v>
      </c>
      <c r="G435" t="s">
        <v>267</v>
      </c>
      <c r="H435" t="s">
        <v>18</v>
      </c>
      <c r="I435">
        <f>ROUND(ROUND((123*15)*0.2*0.1/100,9),9)</f>
        <v>0.36899999999999999</v>
      </c>
      <c r="J435">
        <v>0</v>
      </c>
      <c r="K435">
        <f>ROUND(ROUND((123*15)*0.2*0.1/100,9),9)</f>
        <v>0.36899999999999999</v>
      </c>
      <c r="O435">
        <f t="shared" si="417"/>
        <v>1983.62</v>
      </c>
      <c r="P435">
        <f t="shared" si="418"/>
        <v>8.31</v>
      </c>
      <c r="Q435">
        <f t="shared" si="419"/>
        <v>0</v>
      </c>
      <c r="R435">
        <f t="shared" si="420"/>
        <v>0</v>
      </c>
      <c r="S435">
        <f t="shared" si="421"/>
        <v>1975.31</v>
      </c>
      <c r="T435">
        <f t="shared" si="422"/>
        <v>0</v>
      </c>
      <c r="U435">
        <f t="shared" si="423"/>
        <v>3.69</v>
      </c>
      <c r="V435">
        <f t="shared" si="424"/>
        <v>0</v>
      </c>
      <c r="W435">
        <f t="shared" si="425"/>
        <v>0</v>
      </c>
      <c r="X435">
        <f t="shared" si="426"/>
        <v>1382.72</v>
      </c>
      <c r="Y435">
        <f t="shared" si="426"/>
        <v>197.53</v>
      </c>
      <c r="AA435">
        <v>1471718271</v>
      </c>
      <c r="AB435">
        <f t="shared" si="427"/>
        <v>5375.66</v>
      </c>
      <c r="AC435">
        <f t="shared" si="428"/>
        <v>22.51</v>
      </c>
      <c r="AD435">
        <f t="shared" si="429"/>
        <v>0</v>
      </c>
      <c r="AE435">
        <f t="shared" si="430"/>
        <v>0</v>
      </c>
      <c r="AF435">
        <f t="shared" si="430"/>
        <v>5353.15</v>
      </c>
      <c r="AG435">
        <f t="shared" si="431"/>
        <v>0</v>
      </c>
      <c r="AH435">
        <f t="shared" si="432"/>
        <v>10</v>
      </c>
      <c r="AI435">
        <f t="shared" si="432"/>
        <v>0</v>
      </c>
      <c r="AJ435">
        <f t="shared" si="433"/>
        <v>0</v>
      </c>
      <c r="AK435">
        <v>5375.66</v>
      </c>
      <c r="AL435">
        <v>22.51</v>
      </c>
      <c r="AM435">
        <v>0</v>
      </c>
      <c r="AN435">
        <v>0</v>
      </c>
      <c r="AO435">
        <v>5353.15</v>
      </c>
      <c r="AP435">
        <v>0</v>
      </c>
      <c r="AQ435">
        <v>10</v>
      </c>
      <c r="AR435">
        <v>0</v>
      </c>
      <c r="AS435">
        <v>0</v>
      </c>
      <c r="AT435">
        <v>70</v>
      </c>
      <c r="AU435">
        <v>10</v>
      </c>
      <c r="AV435">
        <v>1</v>
      </c>
      <c r="AW435">
        <v>1</v>
      </c>
      <c r="AZ435">
        <v>1</v>
      </c>
      <c r="BA435">
        <v>1</v>
      </c>
      <c r="BB435">
        <v>1</v>
      </c>
      <c r="BC435">
        <v>1</v>
      </c>
      <c r="BD435" t="s">
        <v>3</v>
      </c>
      <c r="BE435" t="s">
        <v>3</v>
      </c>
      <c r="BF435" t="s">
        <v>3</v>
      </c>
      <c r="BG435" t="s">
        <v>3</v>
      </c>
      <c r="BH435">
        <v>0</v>
      </c>
      <c r="BI435">
        <v>4</v>
      </c>
      <c r="BJ435" t="s">
        <v>262</v>
      </c>
      <c r="BM435">
        <v>0</v>
      </c>
      <c r="BN435">
        <v>0</v>
      </c>
      <c r="BO435" t="s">
        <v>3</v>
      </c>
      <c r="BP435">
        <v>0</v>
      </c>
      <c r="BQ435">
        <v>1</v>
      </c>
      <c r="BR435">
        <v>0</v>
      </c>
      <c r="BS435">
        <v>1</v>
      </c>
      <c r="BT435">
        <v>1</v>
      </c>
      <c r="BU435">
        <v>1</v>
      </c>
      <c r="BV435">
        <v>1</v>
      </c>
      <c r="BW435">
        <v>1</v>
      </c>
      <c r="BX435">
        <v>1</v>
      </c>
      <c r="BY435" t="s">
        <v>3</v>
      </c>
      <c r="BZ435">
        <v>70</v>
      </c>
      <c r="CA435">
        <v>10</v>
      </c>
      <c r="CB435" t="s">
        <v>3</v>
      </c>
      <c r="CE435">
        <v>0</v>
      </c>
      <c r="CF435">
        <v>0</v>
      </c>
      <c r="CG435">
        <v>0</v>
      </c>
      <c r="CM435">
        <v>0</v>
      </c>
      <c r="CN435" t="s">
        <v>3</v>
      </c>
      <c r="CO435">
        <v>0</v>
      </c>
      <c r="CP435">
        <f t="shared" si="434"/>
        <v>1983.62</v>
      </c>
      <c r="CQ435">
        <f t="shared" si="435"/>
        <v>22.51</v>
      </c>
      <c r="CR435">
        <f t="shared" si="436"/>
        <v>0</v>
      </c>
      <c r="CS435">
        <f t="shared" si="437"/>
        <v>0</v>
      </c>
      <c r="CT435">
        <f t="shared" si="438"/>
        <v>5353.15</v>
      </c>
      <c r="CU435">
        <f t="shared" si="439"/>
        <v>0</v>
      </c>
      <c r="CV435">
        <f t="shared" si="440"/>
        <v>10</v>
      </c>
      <c r="CW435">
        <f t="shared" si="441"/>
        <v>0</v>
      </c>
      <c r="CX435">
        <f t="shared" si="441"/>
        <v>0</v>
      </c>
      <c r="CY435">
        <f t="shared" si="442"/>
        <v>1382.7169999999999</v>
      </c>
      <c r="CZ435">
        <f t="shared" si="443"/>
        <v>197.53099999999998</v>
      </c>
      <c r="DC435" t="s">
        <v>3</v>
      </c>
      <c r="DD435" t="s">
        <v>3</v>
      </c>
      <c r="DE435" t="s">
        <v>3</v>
      </c>
      <c r="DF435" t="s">
        <v>3</v>
      </c>
      <c r="DG435" t="s">
        <v>3</v>
      </c>
      <c r="DH435" t="s">
        <v>3</v>
      </c>
      <c r="DI435" t="s">
        <v>3</v>
      </c>
      <c r="DJ435" t="s">
        <v>3</v>
      </c>
      <c r="DK435" t="s">
        <v>3</v>
      </c>
      <c r="DL435" t="s">
        <v>3</v>
      </c>
      <c r="DM435" t="s">
        <v>3</v>
      </c>
      <c r="DN435">
        <v>0</v>
      </c>
      <c r="DO435">
        <v>0</v>
      </c>
      <c r="DP435">
        <v>1</v>
      </c>
      <c r="DQ435">
        <v>1</v>
      </c>
      <c r="DU435">
        <v>1003</v>
      </c>
      <c r="DV435" t="s">
        <v>18</v>
      </c>
      <c r="DW435" t="s">
        <v>18</v>
      </c>
      <c r="DX435">
        <v>100</v>
      </c>
      <c r="DZ435" t="s">
        <v>3</v>
      </c>
      <c r="EA435" t="s">
        <v>3</v>
      </c>
      <c r="EB435" t="s">
        <v>3</v>
      </c>
      <c r="EC435" t="s">
        <v>3</v>
      </c>
      <c r="EE435">
        <v>1441815344</v>
      </c>
      <c r="EF435">
        <v>1</v>
      </c>
      <c r="EG435" t="s">
        <v>21</v>
      </c>
      <c r="EH435">
        <v>0</v>
      </c>
      <c r="EI435" t="s">
        <v>3</v>
      </c>
      <c r="EJ435">
        <v>4</v>
      </c>
      <c r="EK435">
        <v>0</v>
      </c>
      <c r="EL435" t="s">
        <v>22</v>
      </c>
      <c r="EM435" t="s">
        <v>23</v>
      </c>
      <c r="EO435" t="s">
        <v>3</v>
      </c>
      <c r="EQ435">
        <v>0</v>
      </c>
      <c r="ER435">
        <v>5375.66</v>
      </c>
      <c r="ES435">
        <v>22.51</v>
      </c>
      <c r="ET435">
        <v>0</v>
      </c>
      <c r="EU435">
        <v>0</v>
      </c>
      <c r="EV435">
        <v>5353.15</v>
      </c>
      <c r="EW435">
        <v>10</v>
      </c>
      <c r="EX435">
        <v>0</v>
      </c>
      <c r="EY435">
        <v>0</v>
      </c>
      <c r="FQ435">
        <v>0</v>
      </c>
      <c r="FR435">
        <f t="shared" si="444"/>
        <v>0</v>
      </c>
      <c r="FS435">
        <v>0</v>
      </c>
      <c r="FX435">
        <v>70</v>
      </c>
      <c r="FY435">
        <v>10</v>
      </c>
      <c r="GA435" t="s">
        <v>3</v>
      </c>
      <c r="GD435">
        <v>0</v>
      </c>
      <c r="GF435">
        <v>409781007</v>
      </c>
      <c r="GG435">
        <v>2</v>
      </c>
      <c r="GH435">
        <v>1</v>
      </c>
      <c r="GI435">
        <v>-2</v>
      </c>
      <c r="GJ435">
        <v>0</v>
      </c>
      <c r="GK435">
        <f>ROUND(R435*(R12)/100,2)</f>
        <v>0</v>
      </c>
      <c r="GL435">
        <f t="shared" si="445"/>
        <v>0</v>
      </c>
      <c r="GM435">
        <f t="shared" si="446"/>
        <v>3563.87</v>
      </c>
      <c r="GN435">
        <f t="shared" si="447"/>
        <v>0</v>
      </c>
      <c r="GO435">
        <f t="shared" si="448"/>
        <v>0</v>
      </c>
      <c r="GP435">
        <f t="shared" si="449"/>
        <v>3563.87</v>
      </c>
      <c r="GR435">
        <v>0</v>
      </c>
      <c r="GS435">
        <v>3</v>
      </c>
      <c r="GT435">
        <v>0</v>
      </c>
      <c r="GU435" t="s">
        <v>3</v>
      </c>
      <c r="GV435">
        <f t="shared" si="450"/>
        <v>0</v>
      </c>
      <c r="GW435">
        <v>1</v>
      </c>
      <c r="GX435">
        <f t="shared" si="451"/>
        <v>0</v>
      </c>
      <c r="HA435">
        <v>0</v>
      </c>
      <c r="HB435">
        <v>0</v>
      </c>
      <c r="HC435">
        <f t="shared" si="452"/>
        <v>0</v>
      </c>
      <c r="HE435" t="s">
        <v>3</v>
      </c>
      <c r="HF435" t="s">
        <v>3</v>
      </c>
      <c r="HM435" t="s">
        <v>3</v>
      </c>
      <c r="HN435" t="s">
        <v>3</v>
      </c>
      <c r="HO435" t="s">
        <v>3</v>
      </c>
      <c r="HP435" t="s">
        <v>3</v>
      </c>
      <c r="HQ435" t="s">
        <v>3</v>
      </c>
      <c r="IK435">
        <v>0</v>
      </c>
    </row>
    <row r="436" spans="1:245" x14ac:dyDescent="0.2">
      <c r="A436">
        <v>17</v>
      </c>
      <c r="B436">
        <v>1</v>
      </c>
      <c r="D436">
        <f>ROW(EtalonRes!A266)</f>
        <v>266</v>
      </c>
      <c r="E436" t="s">
        <v>3</v>
      </c>
      <c r="F436" t="s">
        <v>263</v>
      </c>
      <c r="G436" t="s">
        <v>268</v>
      </c>
      <c r="H436" t="s">
        <v>18</v>
      </c>
      <c r="I436">
        <f>ROUND(123*15*0.1/100,9)</f>
        <v>1.845</v>
      </c>
      <c r="J436">
        <v>0</v>
      </c>
      <c r="K436">
        <f>ROUND(123*15*0.1/100,9)</f>
        <v>1.845</v>
      </c>
      <c r="O436">
        <f t="shared" si="417"/>
        <v>325.94</v>
      </c>
      <c r="P436">
        <f t="shared" si="418"/>
        <v>0</v>
      </c>
      <c r="Q436">
        <f t="shared" si="419"/>
        <v>0</v>
      </c>
      <c r="R436">
        <f t="shared" si="420"/>
        <v>0</v>
      </c>
      <c r="S436">
        <f t="shared" si="421"/>
        <v>325.94</v>
      </c>
      <c r="T436">
        <f t="shared" si="422"/>
        <v>0</v>
      </c>
      <c r="U436">
        <f t="shared" si="423"/>
        <v>0.60885</v>
      </c>
      <c r="V436">
        <f t="shared" si="424"/>
        <v>0</v>
      </c>
      <c r="W436">
        <f t="shared" si="425"/>
        <v>0</v>
      </c>
      <c r="X436">
        <f t="shared" si="426"/>
        <v>228.16</v>
      </c>
      <c r="Y436">
        <f t="shared" si="426"/>
        <v>32.590000000000003</v>
      </c>
      <c r="AA436">
        <v>-1</v>
      </c>
      <c r="AB436">
        <f t="shared" si="427"/>
        <v>176.66</v>
      </c>
      <c r="AC436">
        <f t="shared" si="428"/>
        <v>0</v>
      </c>
      <c r="AD436">
        <f t="shared" si="429"/>
        <v>0</v>
      </c>
      <c r="AE436">
        <f t="shared" si="430"/>
        <v>0</v>
      </c>
      <c r="AF436">
        <f t="shared" si="430"/>
        <v>176.66</v>
      </c>
      <c r="AG436">
        <f t="shared" si="431"/>
        <v>0</v>
      </c>
      <c r="AH436">
        <f t="shared" si="432"/>
        <v>0.33</v>
      </c>
      <c r="AI436">
        <f t="shared" si="432"/>
        <v>0</v>
      </c>
      <c r="AJ436">
        <f t="shared" si="433"/>
        <v>0</v>
      </c>
      <c r="AK436">
        <v>176.66</v>
      </c>
      <c r="AL436">
        <v>0</v>
      </c>
      <c r="AM436">
        <v>0</v>
      </c>
      <c r="AN436">
        <v>0</v>
      </c>
      <c r="AO436">
        <v>176.66</v>
      </c>
      <c r="AP436">
        <v>0</v>
      </c>
      <c r="AQ436">
        <v>0.33</v>
      </c>
      <c r="AR436">
        <v>0</v>
      </c>
      <c r="AS436">
        <v>0</v>
      </c>
      <c r="AT436">
        <v>70</v>
      </c>
      <c r="AU436">
        <v>10</v>
      </c>
      <c r="AV436">
        <v>1</v>
      </c>
      <c r="AW436">
        <v>1</v>
      </c>
      <c r="AZ436">
        <v>1</v>
      </c>
      <c r="BA436">
        <v>1</v>
      </c>
      <c r="BB436">
        <v>1</v>
      </c>
      <c r="BC436">
        <v>1</v>
      </c>
      <c r="BD436" t="s">
        <v>3</v>
      </c>
      <c r="BE436" t="s">
        <v>3</v>
      </c>
      <c r="BF436" t="s">
        <v>3</v>
      </c>
      <c r="BG436" t="s">
        <v>3</v>
      </c>
      <c r="BH436">
        <v>0</v>
      </c>
      <c r="BI436">
        <v>4</v>
      </c>
      <c r="BJ436" t="s">
        <v>265</v>
      </c>
      <c r="BM436">
        <v>0</v>
      </c>
      <c r="BN436">
        <v>0</v>
      </c>
      <c r="BO436" t="s">
        <v>3</v>
      </c>
      <c r="BP436">
        <v>0</v>
      </c>
      <c r="BQ436">
        <v>1</v>
      </c>
      <c r="BR436">
        <v>0</v>
      </c>
      <c r="BS436">
        <v>1</v>
      </c>
      <c r="BT436">
        <v>1</v>
      </c>
      <c r="BU436">
        <v>1</v>
      </c>
      <c r="BV436">
        <v>1</v>
      </c>
      <c r="BW436">
        <v>1</v>
      </c>
      <c r="BX436">
        <v>1</v>
      </c>
      <c r="BY436" t="s">
        <v>3</v>
      </c>
      <c r="BZ436">
        <v>70</v>
      </c>
      <c r="CA436">
        <v>10</v>
      </c>
      <c r="CB436" t="s">
        <v>3</v>
      </c>
      <c r="CE436">
        <v>0</v>
      </c>
      <c r="CF436">
        <v>0</v>
      </c>
      <c r="CG436">
        <v>0</v>
      </c>
      <c r="CM436">
        <v>0</v>
      </c>
      <c r="CN436" t="s">
        <v>3</v>
      </c>
      <c r="CO436">
        <v>0</v>
      </c>
      <c r="CP436">
        <f t="shared" si="434"/>
        <v>325.94</v>
      </c>
      <c r="CQ436">
        <f t="shared" si="435"/>
        <v>0</v>
      </c>
      <c r="CR436">
        <f t="shared" si="436"/>
        <v>0</v>
      </c>
      <c r="CS436">
        <f t="shared" si="437"/>
        <v>0</v>
      </c>
      <c r="CT436">
        <f t="shared" si="438"/>
        <v>176.66</v>
      </c>
      <c r="CU436">
        <f t="shared" si="439"/>
        <v>0</v>
      </c>
      <c r="CV436">
        <f t="shared" si="440"/>
        <v>0.33</v>
      </c>
      <c r="CW436">
        <f t="shared" si="441"/>
        <v>0</v>
      </c>
      <c r="CX436">
        <f t="shared" si="441"/>
        <v>0</v>
      </c>
      <c r="CY436">
        <f t="shared" si="442"/>
        <v>228.15799999999999</v>
      </c>
      <c r="CZ436">
        <f t="shared" si="443"/>
        <v>32.594000000000001</v>
      </c>
      <c r="DC436" t="s">
        <v>3</v>
      </c>
      <c r="DD436" t="s">
        <v>3</v>
      </c>
      <c r="DE436" t="s">
        <v>3</v>
      </c>
      <c r="DF436" t="s">
        <v>3</v>
      </c>
      <c r="DG436" t="s">
        <v>3</v>
      </c>
      <c r="DH436" t="s">
        <v>3</v>
      </c>
      <c r="DI436" t="s">
        <v>3</v>
      </c>
      <c r="DJ436" t="s">
        <v>3</v>
      </c>
      <c r="DK436" t="s">
        <v>3</v>
      </c>
      <c r="DL436" t="s">
        <v>3</v>
      </c>
      <c r="DM436" t="s">
        <v>3</v>
      </c>
      <c r="DN436">
        <v>0</v>
      </c>
      <c r="DO436">
        <v>0</v>
      </c>
      <c r="DP436">
        <v>1</v>
      </c>
      <c r="DQ436">
        <v>1</v>
      </c>
      <c r="DU436">
        <v>1003</v>
      </c>
      <c r="DV436" t="s">
        <v>18</v>
      </c>
      <c r="DW436" t="s">
        <v>18</v>
      </c>
      <c r="DX436">
        <v>100</v>
      </c>
      <c r="DZ436" t="s">
        <v>3</v>
      </c>
      <c r="EA436" t="s">
        <v>3</v>
      </c>
      <c r="EB436" t="s">
        <v>3</v>
      </c>
      <c r="EC436" t="s">
        <v>3</v>
      </c>
      <c r="EE436">
        <v>1441815344</v>
      </c>
      <c r="EF436">
        <v>1</v>
      </c>
      <c r="EG436" t="s">
        <v>21</v>
      </c>
      <c r="EH436">
        <v>0</v>
      </c>
      <c r="EI436" t="s">
        <v>3</v>
      </c>
      <c r="EJ436">
        <v>4</v>
      </c>
      <c r="EK436">
        <v>0</v>
      </c>
      <c r="EL436" t="s">
        <v>22</v>
      </c>
      <c r="EM436" t="s">
        <v>23</v>
      </c>
      <c r="EO436" t="s">
        <v>3</v>
      </c>
      <c r="EQ436">
        <v>1024</v>
      </c>
      <c r="ER436">
        <v>176.66</v>
      </c>
      <c r="ES436">
        <v>0</v>
      </c>
      <c r="ET436">
        <v>0</v>
      </c>
      <c r="EU436">
        <v>0</v>
      </c>
      <c r="EV436">
        <v>176.66</v>
      </c>
      <c r="EW436">
        <v>0.33</v>
      </c>
      <c r="EX436">
        <v>0</v>
      </c>
      <c r="EY436">
        <v>0</v>
      </c>
      <c r="FQ436">
        <v>0</v>
      </c>
      <c r="FR436">
        <f t="shared" si="444"/>
        <v>0</v>
      </c>
      <c r="FS436">
        <v>0</v>
      </c>
      <c r="FX436">
        <v>70</v>
      </c>
      <c r="FY436">
        <v>10</v>
      </c>
      <c r="GA436" t="s">
        <v>3</v>
      </c>
      <c r="GD436">
        <v>0</v>
      </c>
      <c r="GF436">
        <v>-89122687</v>
      </c>
      <c r="GG436">
        <v>2</v>
      </c>
      <c r="GH436">
        <v>1</v>
      </c>
      <c r="GI436">
        <v>-2</v>
      </c>
      <c r="GJ436">
        <v>0</v>
      </c>
      <c r="GK436">
        <f>ROUND(R436*(R12)/100,2)</f>
        <v>0</v>
      </c>
      <c r="GL436">
        <f t="shared" si="445"/>
        <v>0</v>
      </c>
      <c r="GM436">
        <f t="shared" si="446"/>
        <v>586.69000000000005</v>
      </c>
      <c r="GN436">
        <f t="shared" si="447"/>
        <v>0</v>
      </c>
      <c r="GO436">
        <f t="shared" si="448"/>
        <v>0</v>
      </c>
      <c r="GP436">
        <f t="shared" si="449"/>
        <v>586.69000000000005</v>
      </c>
      <c r="GR436">
        <v>0</v>
      </c>
      <c r="GS436">
        <v>3</v>
      </c>
      <c r="GT436">
        <v>0</v>
      </c>
      <c r="GU436" t="s">
        <v>3</v>
      </c>
      <c r="GV436">
        <f t="shared" si="450"/>
        <v>0</v>
      </c>
      <c r="GW436">
        <v>1</v>
      </c>
      <c r="GX436">
        <f t="shared" si="451"/>
        <v>0</v>
      </c>
      <c r="HA436">
        <v>0</v>
      </c>
      <c r="HB436">
        <v>0</v>
      </c>
      <c r="HC436">
        <f t="shared" si="452"/>
        <v>0</v>
      </c>
      <c r="HE436" t="s">
        <v>3</v>
      </c>
      <c r="HF436" t="s">
        <v>3</v>
      </c>
      <c r="HM436" t="s">
        <v>3</v>
      </c>
      <c r="HN436" t="s">
        <v>3</v>
      </c>
      <c r="HO436" t="s">
        <v>3</v>
      </c>
      <c r="HP436" t="s">
        <v>3</v>
      </c>
      <c r="HQ436" t="s">
        <v>3</v>
      </c>
      <c r="IK436">
        <v>0</v>
      </c>
    </row>
    <row r="437" spans="1:245" x14ac:dyDescent="0.2">
      <c r="A437">
        <v>17</v>
      </c>
      <c r="B437">
        <v>1</v>
      </c>
      <c r="D437">
        <f>ROW(EtalonRes!A268)</f>
        <v>268</v>
      </c>
      <c r="E437" t="s">
        <v>3</v>
      </c>
      <c r="F437" t="s">
        <v>269</v>
      </c>
      <c r="G437" t="s">
        <v>354</v>
      </c>
      <c r="H437" t="s">
        <v>18</v>
      </c>
      <c r="I437">
        <f>ROUND((4+6)*15*0.1/100,9)</f>
        <v>0.15</v>
      </c>
      <c r="J437">
        <v>0</v>
      </c>
      <c r="K437">
        <f>ROUND((4+6)*15*0.1/100,9)</f>
        <v>0.15</v>
      </c>
      <c r="O437">
        <f t="shared" si="417"/>
        <v>894.68</v>
      </c>
      <c r="P437">
        <f t="shared" si="418"/>
        <v>3.38</v>
      </c>
      <c r="Q437">
        <f t="shared" si="419"/>
        <v>0</v>
      </c>
      <c r="R437">
        <f t="shared" si="420"/>
        <v>0</v>
      </c>
      <c r="S437">
        <f t="shared" si="421"/>
        <v>891.3</v>
      </c>
      <c r="T437">
        <f t="shared" si="422"/>
        <v>0</v>
      </c>
      <c r="U437">
        <f t="shared" si="423"/>
        <v>1.6649999999999998</v>
      </c>
      <c r="V437">
        <f t="shared" si="424"/>
        <v>0</v>
      </c>
      <c r="W437">
        <f t="shared" si="425"/>
        <v>0</v>
      </c>
      <c r="X437">
        <f t="shared" si="426"/>
        <v>623.91</v>
      </c>
      <c r="Y437">
        <f t="shared" si="426"/>
        <v>89.13</v>
      </c>
      <c r="AA437">
        <v>-1</v>
      </c>
      <c r="AB437">
        <f t="shared" si="427"/>
        <v>5964.51</v>
      </c>
      <c r="AC437">
        <f t="shared" si="428"/>
        <v>22.51</v>
      </c>
      <c r="AD437">
        <f t="shared" si="429"/>
        <v>0</v>
      </c>
      <c r="AE437">
        <f t="shared" si="430"/>
        <v>0</v>
      </c>
      <c r="AF437">
        <f t="shared" si="430"/>
        <v>5942</v>
      </c>
      <c r="AG437">
        <f t="shared" si="431"/>
        <v>0</v>
      </c>
      <c r="AH437">
        <f t="shared" si="432"/>
        <v>11.1</v>
      </c>
      <c r="AI437">
        <f t="shared" si="432"/>
        <v>0</v>
      </c>
      <c r="AJ437">
        <f t="shared" si="433"/>
        <v>0</v>
      </c>
      <c r="AK437">
        <v>5964.51</v>
      </c>
      <c r="AL437">
        <v>22.51</v>
      </c>
      <c r="AM437">
        <v>0</v>
      </c>
      <c r="AN437">
        <v>0</v>
      </c>
      <c r="AO437">
        <v>5942</v>
      </c>
      <c r="AP437">
        <v>0</v>
      </c>
      <c r="AQ437">
        <v>11.1</v>
      </c>
      <c r="AR437">
        <v>0</v>
      </c>
      <c r="AS437">
        <v>0</v>
      </c>
      <c r="AT437">
        <v>70</v>
      </c>
      <c r="AU437">
        <v>10</v>
      </c>
      <c r="AV437">
        <v>1</v>
      </c>
      <c r="AW437">
        <v>1</v>
      </c>
      <c r="AZ437">
        <v>1</v>
      </c>
      <c r="BA437">
        <v>1</v>
      </c>
      <c r="BB437">
        <v>1</v>
      </c>
      <c r="BC437">
        <v>1</v>
      </c>
      <c r="BD437" t="s">
        <v>3</v>
      </c>
      <c r="BE437" t="s">
        <v>3</v>
      </c>
      <c r="BF437" t="s">
        <v>3</v>
      </c>
      <c r="BG437" t="s">
        <v>3</v>
      </c>
      <c r="BH437">
        <v>0</v>
      </c>
      <c r="BI437">
        <v>4</v>
      </c>
      <c r="BJ437" t="s">
        <v>271</v>
      </c>
      <c r="BM437">
        <v>0</v>
      </c>
      <c r="BN437">
        <v>0</v>
      </c>
      <c r="BO437" t="s">
        <v>3</v>
      </c>
      <c r="BP437">
        <v>0</v>
      </c>
      <c r="BQ437">
        <v>1</v>
      </c>
      <c r="BR437">
        <v>0</v>
      </c>
      <c r="BS437">
        <v>1</v>
      </c>
      <c r="BT437">
        <v>1</v>
      </c>
      <c r="BU437">
        <v>1</v>
      </c>
      <c r="BV437">
        <v>1</v>
      </c>
      <c r="BW437">
        <v>1</v>
      </c>
      <c r="BX437">
        <v>1</v>
      </c>
      <c r="BY437" t="s">
        <v>3</v>
      </c>
      <c r="BZ437">
        <v>70</v>
      </c>
      <c r="CA437">
        <v>10</v>
      </c>
      <c r="CB437" t="s">
        <v>3</v>
      </c>
      <c r="CE437">
        <v>0</v>
      </c>
      <c r="CF437">
        <v>0</v>
      </c>
      <c r="CG437">
        <v>0</v>
      </c>
      <c r="CM437">
        <v>0</v>
      </c>
      <c r="CN437" t="s">
        <v>3</v>
      </c>
      <c r="CO437">
        <v>0</v>
      </c>
      <c r="CP437">
        <f t="shared" si="434"/>
        <v>894.68</v>
      </c>
      <c r="CQ437">
        <f t="shared" si="435"/>
        <v>22.51</v>
      </c>
      <c r="CR437">
        <f t="shared" si="436"/>
        <v>0</v>
      </c>
      <c r="CS437">
        <f t="shared" si="437"/>
        <v>0</v>
      </c>
      <c r="CT437">
        <f t="shared" si="438"/>
        <v>5942</v>
      </c>
      <c r="CU437">
        <f t="shared" si="439"/>
        <v>0</v>
      </c>
      <c r="CV437">
        <f t="shared" si="440"/>
        <v>11.1</v>
      </c>
      <c r="CW437">
        <f t="shared" si="441"/>
        <v>0</v>
      </c>
      <c r="CX437">
        <f t="shared" si="441"/>
        <v>0</v>
      </c>
      <c r="CY437">
        <f t="shared" si="442"/>
        <v>623.91</v>
      </c>
      <c r="CZ437">
        <f t="shared" si="443"/>
        <v>89.13</v>
      </c>
      <c r="DC437" t="s">
        <v>3</v>
      </c>
      <c r="DD437" t="s">
        <v>3</v>
      </c>
      <c r="DE437" t="s">
        <v>3</v>
      </c>
      <c r="DF437" t="s">
        <v>3</v>
      </c>
      <c r="DG437" t="s">
        <v>3</v>
      </c>
      <c r="DH437" t="s">
        <v>3</v>
      </c>
      <c r="DI437" t="s">
        <v>3</v>
      </c>
      <c r="DJ437" t="s">
        <v>3</v>
      </c>
      <c r="DK437" t="s">
        <v>3</v>
      </c>
      <c r="DL437" t="s">
        <v>3</v>
      </c>
      <c r="DM437" t="s">
        <v>3</v>
      </c>
      <c r="DN437">
        <v>0</v>
      </c>
      <c r="DO437">
        <v>0</v>
      </c>
      <c r="DP437">
        <v>1</v>
      </c>
      <c r="DQ437">
        <v>1</v>
      </c>
      <c r="DU437">
        <v>1003</v>
      </c>
      <c r="DV437" t="s">
        <v>18</v>
      </c>
      <c r="DW437" t="s">
        <v>18</v>
      </c>
      <c r="DX437">
        <v>100</v>
      </c>
      <c r="DZ437" t="s">
        <v>3</v>
      </c>
      <c r="EA437" t="s">
        <v>3</v>
      </c>
      <c r="EB437" t="s">
        <v>3</v>
      </c>
      <c r="EC437" t="s">
        <v>3</v>
      </c>
      <c r="EE437">
        <v>1441815344</v>
      </c>
      <c r="EF437">
        <v>1</v>
      </c>
      <c r="EG437" t="s">
        <v>21</v>
      </c>
      <c r="EH437">
        <v>0</v>
      </c>
      <c r="EI437" t="s">
        <v>3</v>
      </c>
      <c r="EJ437">
        <v>4</v>
      </c>
      <c r="EK437">
        <v>0</v>
      </c>
      <c r="EL437" t="s">
        <v>22</v>
      </c>
      <c r="EM437" t="s">
        <v>23</v>
      </c>
      <c r="EO437" t="s">
        <v>3</v>
      </c>
      <c r="EQ437">
        <v>1311744</v>
      </c>
      <c r="ER437">
        <v>5964.51</v>
      </c>
      <c r="ES437">
        <v>22.51</v>
      </c>
      <c r="ET437">
        <v>0</v>
      </c>
      <c r="EU437">
        <v>0</v>
      </c>
      <c r="EV437">
        <v>5942</v>
      </c>
      <c r="EW437">
        <v>11.1</v>
      </c>
      <c r="EX437">
        <v>0</v>
      </c>
      <c r="EY437">
        <v>0</v>
      </c>
      <c r="FQ437">
        <v>0</v>
      </c>
      <c r="FR437">
        <f t="shared" si="444"/>
        <v>0</v>
      </c>
      <c r="FS437">
        <v>0</v>
      </c>
      <c r="FX437">
        <v>70</v>
      </c>
      <c r="FY437">
        <v>10</v>
      </c>
      <c r="GA437" t="s">
        <v>3</v>
      </c>
      <c r="GD437">
        <v>0</v>
      </c>
      <c r="GF437">
        <v>2025558267</v>
      </c>
      <c r="GG437">
        <v>2</v>
      </c>
      <c r="GH437">
        <v>1</v>
      </c>
      <c r="GI437">
        <v>-2</v>
      </c>
      <c r="GJ437">
        <v>0</v>
      </c>
      <c r="GK437">
        <f>ROUND(R437*(R12)/100,2)</f>
        <v>0</v>
      </c>
      <c r="GL437">
        <f t="shared" si="445"/>
        <v>0</v>
      </c>
      <c r="GM437">
        <f t="shared" si="446"/>
        <v>1607.72</v>
      </c>
      <c r="GN437">
        <f t="shared" si="447"/>
        <v>0</v>
      </c>
      <c r="GO437">
        <f t="shared" si="448"/>
        <v>0</v>
      </c>
      <c r="GP437">
        <f t="shared" si="449"/>
        <v>1607.72</v>
      </c>
      <c r="GR437">
        <v>0</v>
      </c>
      <c r="GS437">
        <v>3</v>
      </c>
      <c r="GT437">
        <v>0</v>
      </c>
      <c r="GU437" t="s">
        <v>3</v>
      </c>
      <c r="GV437">
        <f t="shared" si="450"/>
        <v>0</v>
      </c>
      <c r="GW437">
        <v>1</v>
      </c>
      <c r="GX437">
        <f t="shared" si="451"/>
        <v>0</v>
      </c>
      <c r="HA437">
        <v>0</v>
      </c>
      <c r="HB437">
        <v>0</v>
      </c>
      <c r="HC437">
        <f t="shared" si="452"/>
        <v>0</v>
      </c>
      <c r="HE437" t="s">
        <v>3</v>
      </c>
      <c r="HF437" t="s">
        <v>3</v>
      </c>
      <c r="HM437" t="s">
        <v>3</v>
      </c>
      <c r="HN437" t="s">
        <v>3</v>
      </c>
      <c r="HO437" t="s">
        <v>3</v>
      </c>
      <c r="HP437" t="s">
        <v>3</v>
      </c>
      <c r="HQ437" t="s">
        <v>3</v>
      </c>
      <c r="IK437">
        <v>0</v>
      </c>
    </row>
    <row r="438" spans="1:245" x14ac:dyDescent="0.2">
      <c r="A438">
        <v>17</v>
      </c>
      <c r="B438">
        <v>1</v>
      </c>
      <c r="D438">
        <f>ROW(EtalonRes!A269)</f>
        <v>269</v>
      </c>
      <c r="E438" t="s">
        <v>3</v>
      </c>
      <c r="F438" t="s">
        <v>272</v>
      </c>
      <c r="G438" t="s">
        <v>273</v>
      </c>
      <c r="H438" t="s">
        <v>18</v>
      </c>
      <c r="I438">
        <f>ROUND((4+6)*15*0.1/100,9)</f>
        <v>0.15</v>
      </c>
      <c r="J438">
        <v>0</v>
      </c>
      <c r="K438">
        <f>ROUND((4+6)*15*0.1/100,9)</f>
        <v>0.15</v>
      </c>
      <c r="O438">
        <f t="shared" si="417"/>
        <v>30.51</v>
      </c>
      <c r="P438">
        <f t="shared" si="418"/>
        <v>0</v>
      </c>
      <c r="Q438">
        <f t="shared" si="419"/>
        <v>0</v>
      </c>
      <c r="R438">
        <f t="shared" si="420"/>
        <v>0</v>
      </c>
      <c r="S438">
        <f t="shared" si="421"/>
        <v>30.51</v>
      </c>
      <c r="T438">
        <f t="shared" si="422"/>
        <v>0</v>
      </c>
      <c r="U438">
        <f t="shared" si="423"/>
        <v>5.6999999999999995E-2</v>
      </c>
      <c r="V438">
        <f t="shared" si="424"/>
        <v>0</v>
      </c>
      <c r="W438">
        <f t="shared" si="425"/>
        <v>0</v>
      </c>
      <c r="X438">
        <f t="shared" si="426"/>
        <v>21.36</v>
      </c>
      <c r="Y438">
        <f t="shared" si="426"/>
        <v>3.05</v>
      </c>
      <c r="AA438">
        <v>-1</v>
      </c>
      <c r="AB438">
        <f t="shared" si="427"/>
        <v>203.42</v>
      </c>
      <c r="AC438">
        <f t="shared" si="428"/>
        <v>0</v>
      </c>
      <c r="AD438">
        <f t="shared" si="429"/>
        <v>0</v>
      </c>
      <c r="AE438">
        <f t="shared" si="430"/>
        <v>0</v>
      </c>
      <c r="AF438">
        <f t="shared" si="430"/>
        <v>203.42</v>
      </c>
      <c r="AG438">
        <f t="shared" si="431"/>
        <v>0</v>
      </c>
      <c r="AH438">
        <f t="shared" si="432"/>
        <v>0.38</v>
      </c>
      <c r="AI438">
        <f t="shared" si="432"/>
        <v>0</v>
      </c>
      <c r="AJ438">
        <f t="shared" si="433"/>
        <v>0</v>
      </c>
      <c r="AK438">
        <v>203.42</v>
      </c>
      <c r="AL438">
        <v>0</v>
      </c>
      <c r="AM438">
        <v>0</v>
      </c>
      <c r="AN438">
        <v>0</v>
      </c>
      <c r="AO438">
        <v>203.42</v>
      </c>
      <c r="AP438">
        <v>0</v>
      </c>
      <c r="AQ438">
        <v>0.38</v>
      </c>
      <c r="AR438">
        <v>0</v>
      </c>
      <c r="AS438">
        <v>0</v>
      </c>
      <c r="AT438">
        <v>70</v>
      </c>
      <c r="AU438">
        <v>10</v>
      </c>
      <c r="AV438">
        <v>1</v>
      </c>
      <c r="AW438">
        <v>1</v>
      </c>
      <c r="AZ438">
        <v>1</v>
      </c>
      <c r="BA438">
        <v>1</v>
      </c>
      <c r="BB438">
        <v>1</v>
      </c>
      <c r="BC438">
        <v>1</v>
      </c>
      <c r="BD438" t="s">
        <v>3</v>
      </c>
      <c r="BE438" t="s">
        <v>3</v>
      </c>
      <c r="BF438" t="s">
        <v>3</v>
      </c>
      <c r="BG438" t="s">
        <v>3</v>
      </c>
      <c r="BH438">
        <v>0</v>
      </c>
      <c r="BI438">
        <v>4</v>
      </c>
      <c r="BJ438" t="s">
        <v>274</v>
      </c>
      <c r="BM438">
        <v>0</v>
      </c>
      <c r="BN438">
        <v>0</v>
      </c>
      <c r="BO438" t="s">
        <v>3</v>
      </c>
      <c r="BP438">
        <v>0</v>
      </c>
      <c r="BQ438">
        <v>1</v>
      </c>
      <c r="BR438">
        <v>0</v>
      </c>
      <c r="BS438">
        <v>1</v>
      </c>
      <c r="BT438">
        <v>1</v>
      </c>
      <c r="BU438">
        <v>1</v>
      </c>
      <c r="BV438">
        <v>1</v>
      </c>
      <c r="BW438">
        <v>1</v>
      </c>
      <c r="BX438">
        <v>1</v>
      </c>
      <c r="BY438" t="s">
        <v>3</v>
      </c>
      <c r="BZ438">
        <v>70</v>
      </c>
      <c r="CA438">
        <v>10</v>
      </c>
      <c r="CB438" t="s">
        <v>3</v>
      </c>
      <c r="CE438">
        <v>0</v>
      </c>
      <c r="CF438">
        <v>0</v>
      </c>
      <c r="CG438">
        <v>0</v>
      </c>
      <c r="CM438">
        <v>0</v>
      </c>
      <c r="CN438" t="s">
        <v>3</v>
      </c>
      <c r="CO438">
        <v>0</v>
      </c>
      <c r="CP438">
        <f t="shared" si="434"/>
        <v>30.51</v>
      </c>
      <c r="CQ438">
        <f t="shared" si="435"/>
        <v>0</v>
      </c>
      <c r="CR438">
        <f t="shared" si="436"/>
        <v>0</v>
      </c>
      <c r="CS438">
        <f t="shared" si="437"/>
        <v>0</v>
      </c>
      <c r="CT438">
        <f t="shared" si="438"/>
        <v>203.42</v>
      </c>
      <c r="CU438">
        <f t="shared" si="439"/>
        <v>0</v>
      </c>
      <c r="CV438">
        <f t="shared" si="440"/>
        <v>0.38</v>
      </c>
      <c r="CW438">
        <f t="shared" si="441"/>
        <v>0</v>
      </c>
      <c r="CX438">
        <f t="shared" si="441"/>
        <v>0</v>
      </c>
      <c r="CY438">
        <f t="shared" si="442"/>
        <v>21.357000000000003</v>
      </c>
      <c r="CZ438">
        <f t="shared" si="443"/>
        <v>3.0510000000000002</v>
      </c>
      <c r="DC438" t="s">
        <v>3</v>
      </c>
      <c r="DD438" t="s">
        <v>3</v>
      </c>
      <c r="DE438" t="s">
        <v>3</v>
      </c>
      <c r="DF438" t="s">
        <v>3</v>
      </c>
      <c r="DG438" t="s">
        <v>3</v>
      </c>
      <c r="DH438" t="s">
        <v>3</v>
      </c>
      <c r="DI438" t="s">
        <v>3</v>
      </c>
      <c r="DJ438" t="s">
        <v>3</v>
      </c>
      <c r="DK438" t="s">
        <v>3</v>
      </c>
      <c r="DL438" t="s">
        <v>3</v>
      </c>
      <c r="DM438" t="s">
        <v>3</v>
      </c>
      <c r="DN438">
        <v>0</v>
      </c>
      <c r="DO438">
        <v>0</v>
      </c>
      <c r="DP438">
        <v>1</v>
      </c>
      <c r="DQ438">
        <v>1</v>
      </c>
      <c r="DU438">
        <v>1003</v>
      </c>
      <c r="DV438" t="s">
        <v>18</v>
      </c>
      <c r="DW438" t="s">
        <v>18</v>
      </c>
      <c r="DX438">
        <v>100</v>
      </c>
      <c r="DZ438" t="s">
        <v>3</v>
      </c>
      <c r="EA438" t="s">
        <v>3</v>
      </c>
      <c r="EB438" t="s">
        <v>3</v>
      </c>
      <c r="EC438" t="s">
        <v>3</v>
      </c>
      <c r="EE438">
        <v>1441815344</v>
      </c>
      <c r="EF438">
        <v>1</v>
      </c>
      <c r="EG438" t="s">
        <v>21</v>
      </c>
      <c r="EH438">
        <v>0</v>
      </c>
      <c r="EI438" t="s">
        <v>3</v>
      </c>
      <c r="EJ438">
        <v>4</v>
      </c>
      <c r="EK438">
        <v>0</v>
      </c>
      <c r="EL438" t="s">
        <v>22</v>
      </c>
      <c r="EM438" t="s">
        <v>23</v>
      </c>
      <c r="EO438" t="s">
        <v>3</v>
      </c>
      <c r="EQ438">
        <v>1024</v>
      </c>
      <c r="ER438">
        <v>203.42</v>
      </c>
      <c r="ES438">
        <v>0</v>
      </c>
      <c r="ET438">
        <v>0</v>
      </c>
      <c r="EU438">
        <v>0</v>
      </c>
      <c r="EV438">
        <v>203.42</v>
      </c>
      <c r="EW438">
        <v>0.38</v>
      </c>
      <c r="EX438">
        <v>0</v>
      </c>
      <c r="EY438">
        <v>0</v>
      </c>
      <c r="FQ438">
        <v>0</v>
      </c>
      <c r="FR438">
        <f t="shared" si="444"/>
        <v>0</v>
      </c>
      <c r="FS438">
        <v>0</v>
      </c>
      <c r="FX438">
        <v>70</v>
      </c>
      <c r="FY438">
        <v>10</v>
      </c>
      <c r="GA438" t="s">
        <v>3</v>
      </c>
      <c r="GD438">
        <v>0</v>
      </c>
      <c r="GF438">
        <v>-1699704026</v>
      </c>
      <c r="GG438">
        <v>2</v>
      </c>
      <c r="GH438">
        <v>1</v>
      </c>
      <c r="GI438">
        <v>-2</v>
      </c>
      <c r="GJ438">
        <v>0</v>
      </c>
      <c r="GK438">
        <f>ROUND(R438*(R12)/100,2)</f>
        <v>0</v>
      </c>
      <c r="GL438">
        <f t="shared" si="445"/>
        <v>0</v>
      </c>
      <c r="GM438">
        <f t="shared" si="446"/>
        <v>54.92</v>
      </c>
      <c r="GN438">
        <f t="shared" si="447"/>
        <v>0</v>
      </c>
      <c r="GO438">
        <f t="shared" si="448"/>
        <v>0</v>
      </c>
      <c r="GP438">
        <f t="shared" si="449"/>
        <v>54.92</v>
      </c>
      <c r="GR438">
        <v>0</v>
      </c>
      <c r="GS438">
        <v>3</v>
      </c>
      <c r="GT438">
        <v>0</v>
      </c>
      <c r="GU438" t="s">
        <v>3</v>
      </c>
      <c r="GV438">
        <f t="shared" si="450"/>
        <v>0</v>
      </c>
      <c r="GW438">
        <v>1</v>
      </c>
      <c r="GX438">
        <f t="shared" si="451"/>
        <v>0</v>
      </c>
      <c r="HA438">
        <v>0</v>
      </c>
      <c r="HB438">
        <v>0</v>
      </c>
      <c r="HC438">
        <f t="shared" si="452"/>
        <v>0</v>
      </c>
      <c r="HE438" t="s">
        <v>3</v>
      </c>
      <c r="HF438" t="s">
        <v>3</v>
      </c>
      <c r="HM438" t="s">
        <v>3</v>
      </c>
      <c r="HN438" t="s">
        <v>3</v>
      </c>
      <c r="HO438" t="s">
        <v>3</v>
      </c>
      <c r="HP438" t="s">
        <v>3</v>
      </c>
      <c r="HQ438" t="s">
        <v>3</v>
      </c>
      <c r="IK438">
        <v>0</v>
      </c>
    </row>
    <row r="439" spans="1:245" x14ac:dyDescent="0.2">
      <c r="A439">
        <v>19</v>
      </c>
      <c r="B439">
        <v>1</v>
      </c>
      <c r="F439" t="s">
        <v>3</v>
      </c>
      <c r="G439" t="s">
        <v>275</v>
      </c>
      <c r="H439" t="s">
        <v>3</v>
      </c>
      <c r="AA439">
        <v>1</v>
      </c>
      <c r="IK439">
        <v>0</v>
      </c>
    </row>
    <row r="440" spans="1:245" x14ac:dyDescent="0.2">
      <c r="A440">
        <v>17</v>
      </c>
      <c r="B440">
        <v>1</v>
      </c>
      <c r="D440">
        <f>ROW(EtalonRes!A271)</f>
        <v>271</v>
      </c>
      <c r="E440" t="s">
        <v>355</v>
      </c>
      <c r="F440" t="s">
        <v>260</v>
      </c>
      <c r="G440" t="s">
        <v>356</v>
      </c>
      <c r="H440" t="s">
        <v>18</v>
      </c>
      <c r="I440">
        <f>ROUND(ROUND((5*15)*0.2*0.1/100,9),9)</f>
        <v>1.4999999999999999E-2</v>
      </c>
      <c r="J440">
        <v>0</v>
      </c>
      <c r="K440">
        <f>ROUND(ROUND((5*15)*0.2*0.1/100,9),9)</f>
        <v>1.4999999999999999E-2</v>
      </c>
      <c r="O440">
        <f>ROUND(CP440,2)</f>
        <v>80.64</v>
      </c>
      <c r="P440">
        <f>ROUND(CQ440*I440,2)</f>
        <v>0.34</v>
      </c>
      <c r="Q440">
        <f>ROUND(CR440*I440,2)</f>
        <v>0</v>
      </c>
      <c r="R440">
        <f>ROUND(CS440*I440,2)</f>
        <v>0</v>
      </c>
      <c r="S440">
        <f>ROUND(CT440*I440,2)</f>
        <v>80.3</v>
      </c>
      <c r="T440">
        <f>ROUND(CU440*I440,2)</f>
        <v>0</v>
      </c>
      <c r="U440">
        <f>CV440*I440</f>
        <v>0.15</v>
      </c>
      <c r="V440">
        <f>CW440*I440</f>
        <v>0</v>
      </c>
      <c r="W440">
        <f>ROUND(CX440*I440,2)</f>
        <v>0</v>
      </c>
      <c r="X440">
        <f>ROUND(CY440,2)</f>
        <v>56.21</v>
      </c>
      <c r="Y440">
        <f>ROUND(CZ440,2)</f>
        <v>8.0299999999999994</v>
      </c>
      <c r="AA440">
        <v>1471718271</v>
      </c>
      <c r="AB440">
        <f>ROUND((AC440+AD440+AF440),6)</f>
        <v>5375.66</v>
      </c>
      <c r="AC440">
        <f>ROUND((ES440),6)</f>
        <v>22.51</v>
      </c>
      <c r="AD440">
        <f>ROUND((((ET440)-(EU440))+AE440),6)</f>
        <v>0</v>
      </c>
      <c r="AE440">
        <f>ROUND((EU440),6)</f>
        <v>0</v>
      </c>
      <c r="AF440">
        <f>ROUND((EV440),6)</f>
        <v>5353.15</v>
      </c>
      <c r="AG440">
        <f>ROUND((AP440),6)</f>
        <v>0</v>
      </c>
      <c r="AH440">
        <f>(EW440)</f>
        <v>10</v>
      </c>
      <c r="AI440">
        <f>(EX440)</f>
        <v>0</v>
      </c>
      <c r="AJ440">
        <f>(AS440)</f>
        <v>0</v>
      </c>
      <c r="AK440">
        <v>5375.66</v>
      </c>
      <c r="AL440">
        <v>22.51</v>
      </c>
      <c r="AM440">
        <v>0</v>
      </c>
      <c r="AN440">
        <v>0</v>
      </c>
      <c r="AO440">
        <v>5353.15</v>
      </c>
      <c r="AP440">
        <v>0</v>
      </c>
      <c r="AQ440">
        <v>10</v>
      </c>
      <c r="AR440">
        <v>0</v>
      </c>
      <c r="AS440">
        <v>0</v>
      </c>
      <c r="AT440">
        <v>70</v>
      </c>
      <c r="AU440">
        <v>10</v>
      </c>
      <c r="AV440">
        <v>1</v>
      </c>
      <c r="AW440">
        <v>1</v>
      </c>
      <c r="AZ440">
        <v>1</v>
      </c>
      <c r="BA440">
        <v>1</v>
      </c>
      <c r="BB440">
        <v>1</v>
      </c>
      <c r="BC440">
        <v>1</v>
      </c>
      <c r="BD440" t="s">
        <v>3</v>
      </c>
      <c r="BE440" t="s">
        <v>3</v>
      </c>
      <c r="BF440" t="s">
        <v>3</v>
      </c>
      <c r="BG440" t="s">
        <v>3</v>
      </c>
      <c r="BH440">
        <v>0</v>
      </c>
      <c r="BI440">
        <v>4</v>
      </c>
      <c r="BJ440" t="s">
        <v>262</v>
      </c>
      <c r="BM440">
        <v>0</v>
      </c>
      <c r="BN440">
        <v>0</v>
      </c>
      <c r="BO440" t="s">
        <v>3</v>
      </c>
      <c r="BP440">
        <v>0</v>
      </c>
      <c r="BQ440">
        <v>1</v>
      </c>
      <c r="BR440">
        <v>0</v>
      </c>
      <c r="BS440">
        <v>1</v>
      </c>
      <c r="BT440">
        <v>1</v>
      </c>
      <c r="BU440">
        <v>1</v>
      </c>
      <c r="BV440">
        <v>1</v>
      </c>
      <c r="BW440">
        <v>1</v>
      </c>
      <c r="BX440">
        <v>1</v>
      </c>
      <c r="BY440" t="s">
        <v>3</v>
      </c>
      <c r="BZ440">
        <v>70</v>
      </c>
      <c r="CA440">
        <v>10</v>
      </c>
      <c r="CB440" t="s">
        <v>3</v>
      </c>
      <c r="CE440">
        <v>0</v>
      </c>
      <c r="CF440">
        <v>0</v>
      </c>
      <c r="CG440">
        <v>0</v>
      </c>
      <c r="CM440">
        <v>0</v>
      </c>
      <c r="CN440" t="s">
        <v>3</v>
      </c>
      <c r="CO440">
        <v>0</v>
      </c>
      <c r="CP440">
        <f>(P440+Q440+S440)</f>
        <v>80.64</v>
      </c>
      <c r="CQ440">
        <f>(AC440*BC440*AW440)</f>
        <v>22.51</v>
      </c>
      <c r="CR440">
        <f>((((ET440)*BB440-(EU440)*BS440)+AE440*BS440)*AV440)</f>
        <v>0</v>
      </c>
      <c r="CS440">
        <f>(AE440*BS440*AV440)</f>
        <v>0</v>
      </c>
      <c r="CT440">
        <f>(AF440*BA440*AV440)</f>
        <v>5353.15</v>
      </c>
      <c r="CU440">
        <f>AG440</f>
        <v>0</v>
      </c>
      <c r="CV440">
        <f>(AH440*AV440)</f>
        <v>10</v>
      </c>
      <c r="CW440">
        <f>AI440</f>
        <v>0</v>
      </c>
      <c r="CX440">
        <f>AJ440</f>
        <v>0</v>
      </c>
      <c r="CY440">
        <f>((S440*BZ440)/100)</f>
        <v>56.21</v>
      </c>
      <c r="CZ440">
        <f>((S440*CA440)/100)</f>
        <v>8.0299999999999994</v>
      </c>
      <c r="DC440" t="s">
        <v>3</v>
      </c>
      <c r="DD440" t="s">
        <v>3</v>
      </c>
      <c r="DE440" t="s">
        <v>3</v>
      </c>
      <c r="DF440" t="s">
        <v>3</v>
      </c>
      <c r="DG440" t="s">
        <v>3</v>
      </c>
      <c r="DH440" t="s">
        <v>3</v>
      </c>
      <c r="DI440" t="s">
        <v>3</v>
      </c>
      <c r="DJ440" t="s">
        <v>3</v>
      </c>
      <c r="DK440" t="s">
        <v>3</v>
      </c>
      <c r="DL440" t="s">
        <v>3</v>
      </c>
      <c r="DM440" t="s">
        <v>3</v>
      </c>
      <c r="DN440">
        <v>0</v>
      </c>
      <c r="DO440">
        <v>0</v>
      </c>
      <c r="DP440">
        <v>1</v>
      </c>
      <c r="DQ440">
        <v>1</v>
      </c>
      <c r="DU440">
        <v>1003</v>
      </c>
      <c r="DV440" t="s">
        <v>18</v>
      </c>
      <c r="DW440" t="s">
        <v>18</v>
      </c>
      <c r="DX440">
        <v>100</v>
      </c>
      <c r="DZ440" t="s">
        <v>3</v>
      </c>
      <c r="EA440" t="s">
        <v>3</v>
      </c>
      <c r="EB440" t="s">
        <v>3</v>
      </c>
      <c r="EC440" t="s">
        <v>3</v>
      </c>
      <c r="EE440">
        <v>1441815344</v>
      </c>
      <c r="EF440">
        <v>1</v>
      </c>
      <c r="EG440" t="s">
        <v>21</v>
      </c>
      <c r="EH440">
        <v>0</v>
      </c>
      <c r="EI440" t="s">
        <v>3</v>
      </c>
      <c r="EJ440">
        <v>4</v>
      </c>
      <c r="EK440">
        <v>0</v>
      </c>
      <c r="EL440" t="s">
        <v>22</v>
      </c>
      <c r="EM440" t="s">
        <v>23</v>
      </c>
      <c r="EO440" t="s">
        <v>3</v>
      </c>
      <c r="EQ440">
        <v>0</v>
      </c>
      <c r="ER440">
        <v>5375.66</v>
      </c>
      <c r="ES440">
        <v>22.51</v>
      </c>
      <c r="ET440">
        <v>0</v>
      </c>
      <c r="EU440">
        <v>0</v>
      </c>
      <c r="EV440">
        <v>5353.15</v>
      </c>
      <c r="EW440">
        <v>10</v>
      </c>
      <c r="EX440">
        <v>0</v>
      </c>
      <c r="EY440">
        <v>0</v>
      </c>
      <c r="FQ440">
        <v>0</v>
      </c>
      <c r="FR440">
        <f>ROUND(IF(BI440=3,GM440,0),2)</f>
        <v>0</v>
      </c>
      <c r="FS440">
        <v>0</v>
      </c>
      <c r="FX440">
        <v>70</v>
      </c>
      <c r="FY440">
        <v>10</v>
      </c>
      <c r="GA440" t="s">
        <v>3</v>
      </c>
      <c r="GD440">
        <v>0</v>
      </c>
      <c r="GF440">
        <v>439801574</v>
      </c>
      <c r="GG440">
        <v>2</v>
      </c>
      <c r="GH440">
        <v>1</v>
      </c>
      <c r="GI440">
        <v>-2</v>
      </c>
      <c r="GJ440">
        <v>0</v>
      </c>
      <c r="GK440">
        <f>ROUND(R440*(R12)/100,2)</f>
        <v>0</v>
      </c>
      <c r="GL440">
        <f>ROUND(IF(AND(BH440=3,BI440=3,FS440&lt;&gt;0),P440,0),2)</f>
        <v>0</v>
      </c>
      <c r="GM440">
        <f>ROUND(O440+X440+Y440+GK440,2)+GX440</f>
        <v>144.88</v>
      </c>
      <c r="GN440">
        <f>IF(OR(BI440=0,BI440=1),GM440-GX440,0)</f>
        <v>0</v>
      </c>
      <c r="GO440">
        <f>IF(BI440=2,GM440-GX440,0)</f>
        <v>0</v>
      </c>
      <c r="GP440">
        <f>IF(BI440=4,GM440-GX440,0)</f>
        <v>144.88</v>
      </c>
      <c r="GR440">
        <v>0</v>
      </c>
      <c r="GS440">
        <v>3</v>
      </c>
      <c r="GT440">
        <v>0</v>
      </c>
      <c r="GU440" t="s">
        <v>3</v>
      </c>
      <c r="GV440">
        <f>ROUND((GT440),6)</f>
        <v>0</v>
      </c>
      <c r="GW440">
        <v>1</v>
      </c>
      <c r="GX440">
        <f>ROUND(HC440*I440,2)</f>
        <v>0</v>
      </c>
      <c r="HA440">
        <v>0</v>
      </c>
      <c r="HB440">
        <v>0</v>
      </c>
      <c r="HC440">
        <f>GV440*GW440</f>
        <v>0</v>
      </c>
      <c r="HE440" t="s">
        <v>3</v>
      </c>
      <c r="HF440" t="s">
        <v>3</v>
      </c>
      <c r="HM440" t="s">
        <v>3</v>
      </c>
      <c r="HN440" t="s">
        <v>3</v>
      </c>
      <c r="HO440" t="s">
        <v>3</v>
      </c>
      <c r="HP440" t="s">
        <v>3</v>
      </c>
      <c r="HQ440" t="s">
        <v>3</v>
      </c>
      <c r="IK440">
        <v>0</v>
      </c>
    </row>
    <row r="441" spans="1:245" x14ac:dyDescent="0.2">
      <c r="A441">
        <v>17</v>
      </c>
      <c r="B441">
        <v>1</v>
      </c>
      <c r="D441">
        <f>ROW(EtalonRes!A272)</f>
        <v>272</v>
      </c>
      <c r="E441" t="s">
        <v>3</v>
      </c>
      <c r="F441" t="s">
        <v>263</v>
      </c>
      <c r="G441" t="s">
        <v>282</v>
      </c>
      <c r="H441" t="s">
        <v>18</v>
      </c>
      <c r="I441">
        <f>ROUND(5*15*0.1/100,9)</f>
        <v>7.4999999999999997E-2</v>
      </c>
      <c r="J441">
        <v>0</v>
      </c>
      <c r="K441">
        <f>ROUND(5*15*0.1/100,9)</f>
        <v>7.4999999999999997E-2</v>
      </c>
      <c r="O441">
        <f>ROUND(CP441,2)</f>
        <v>13.25</v>
      </c>
      <c r="P441">
        <f>ROUND(CQ441*I441,2)</f>
        <v>0</v>
      </c>
      <c r="Q441">
        <f>ROUND(CR441*I441,2)</f>
        <v>0</v>
      </c>
      <c r="R441">
        <f>ROUND(CS441*I441,2)</f>
        <v>0</v>
      </c>
      <c r="S441">
        <f>ROUND(CT441*I441,2)</f>
        <v>13.25</v>
      </c>
      <c r="T441">
        <f>ROUND(CU441*I441,2)</f>
        <v>0</v>
      </c>
      <c r="U441">
        <f>CV441*I441</f>
        <v>2.4750000000000001E-2</v>
      </c>
      <c r="V441">
        <f>CW441*I441</f>
        <v>0</v>
      </c>
      <c r="W441">
        <f>ROUND(CX441*I441,2)</f>
        <v>0</v>
      </c>
      <c r="X441">
        <f>ROUND(CY441,2)</f>
        <v>9.2799999999999994</v>
      </c>
      <c r="Y441">
        <f>ROUND(CZ441,2)</f>
        <v>1.33</v>
      </c>
      <c r="AA441">
        <v>-1</v>
      </c>
      <c r="AB441">
        <f>ROUND((AC441+AD441+AF441),6)</f>
        <v>176.66</v>
      </c>
      <c r="AC441">
        <f>ROUND((ES441),6)</f>
        <v>0</v>
      </c>
      <c r="AD441">
        <f>ROUND((((ET441)-(EU441))+AE441),6)</f>
        <v>0</v>
      </c>
      <c r="AE441">
        <f>ROUND((EU441),6)</f>
        <v>0</v>
      </c>
      <c r="AF441">
        <f>ROUND((EV441),6)</f>
        <v>176.66</v>
      </c>
      <c r="AG441">
        <f>ROUND((AP441),6)</f>
        <v>0</v>
      </c>
      <c r="AH441">
        <f>(EW441)</f>
        <v>0.33</v>
      </c>
      <c r="AI441">
        <f>(EX441)</f>
        <v>0</v>
      </c>
      <c r="AJ441">
        <f>(AS441)</f>
        <v>0</v>
      </c>
      <c r="AK441">
        <v>176.66</v>
      </c>
      <c r="AL441">
        <v>0</v>
      </c>
      <c r="AM441">
        <v>0</v>
      </c>
      <c r="AN441">
        <v>0</v>
      </c>
      <c r="AO441">
        <v>176.66</v>
      </c>
      <c r="AP441">
        <v>0</v>
      </c>
      <c r="AQ441">
        <v>0.33</v>
      </c>
      <c r="AR441">
        <v>0</v>
      </c>
      <c r="AS441">
        <v>0</v>
      </c>
      <c r="AT441">
        <v>70</v>
      </c>
      <c r="AU441">
        <v>10</v>
      </c>
      <c r="AV441">
        <v>1</v>
      </c>
      <c r="AW441">
        <v>1</v>
      </c>
      <c r="AZ441">
        <v>1</v>
      </c>
      <c r="BA441">
        <v>1</v>
      </c>
      <c r="BB441">
        <v>1</v>
      </c>
      <c r="BC441">
        <v>1</v>
      </c>
      <c r="BD441" t="s">
        <v>3</v>
      </c>
      <c r="BE441" t="s">
        <v>3</v>
      </c>
      <c r="BF441" t="s">
        <v>3</v>
      </c>
      <c r="BG441" t="s">
        <v>3</v>
      </c>
      <c r="BH441">
        <v>0</v>
      </c>
      <c r="BI441">
        <v>4</v>
      </c>
      <c r="BJ441" t="s">
        <v>265</v>
      </c>
      <c r="BM441">
        <v>0</v>
      </c>
      <c r="BN441">
        <v>0</v>
      </c>
      <c r="BO441" t="s">
        <v>3</v>
      </c>
      <c r="BP441">
        <v>0</v>
      </c>
      <c r="BQ441">
        <v>1</v>
      </c>
      <c r="BR441">
        <v>0</v>
      </c>
      <c r="BS441">
        <v>1</v>
      </c>
      <c r="BT441">
        <v>1</v>
      </c>
      <c r="BU441">
        <v>1</v>
      </c>
      <c r="BV441">
        <v>1</v>
      </c>
      <c r="BW441">
        <v>1</v>
      </c>
      <c r="BX441">
        <v>1</v>
      </c>
      <c r="BY441" t="s">
        <v>3</v>
      </c>
      <c r="BZ441">
        <v>70</v>
      </c>
      <c r="CA441">
        <v>10</v>
      </c>
      <c r="CB441" t="s">
        <v>3</v>
      </c>
      <c r="CE441">
        <v>0</v>
      </c>
      <c r="CF441">
        <v>0</v>
      </c>
      <c r="CG441">
        <v>0</v>
      </c>
      <c r="CM441">
        <v>0</v>
      </c>
      <c r="CN441" t="s">
        <v>3</v>
      </c>
      <c r="CO441">
        <v>0</v>
      </c>
      <c r="CP441">
        <f>(P441+Q441+S441)</f>
        <v>13.25</v>
      </c>
      <c r="CQ441">
        <f>(AC441*BC441*AW441)</f>
        <v>0</v>
      </c>
      <c r="CR441">
        <f>((((ET441)*BB441-(EU441)*BS441)+AE441*BS441)*AV441)</f>
        <v>0</v>
      </c>
      <c r="CS441">
        <f>(AE441*BS441*AV441)</f>
        <v>0</v>
      </c>
      <c r="CT441">
        <f>(AF441*BA441*AV441)</f>
        <v>176.66</v>
      </c>
      <c r="CU441">
        <f>AG441</f>
        <v>0</v>
      </c>
      <c r="CV441">
        <f>(AH441*AV441)</f>
        <v>0.33</v>
      </c>
      <c r="CW441">
        <f>AI441</f>
        <v>0</v>
      </c>
      <c r="CX441">
        <f>AJ441</f>
        <v>0</v>
      </c>
      <c r="CY441">
        <f>((S441*BZ441)/100)</f>
        <v>9.2750000000000004</v>
      </c>
      <c r="CZ441">
        <f>((S441*CA441)/100)</f>
        <v>1.325</v>
      </c>
      <c r="DC441" t="s">
        <v>3</v>
      </c>
      <c r="DD441" t="s">
        <v>3</v>
      </c>
      <c r="DE441" t="s">
        <v>3</v>
      </c>
      <c r="DF441" t="s">
        <v>3</v>
      </c>
      <c r="DG441" t="s">
        <v>3</v>
      </c>
      <c r="DH441" t="s">
        <v>3</v>
      </c>
      <c r="DI441" t="s">
        <v>3</v>
      </c>
      <c r="DJ441" t="s">
        <v>3</v>
      </c>
      <c r="DK441" t="s">
        <v>3</v>
      </c>
      <c r="DL441" t="s">
        <v>3</v>
      </c>
      <c r="DM441" t="s">
        <v>3</v>
      </c>
      <c r="DN441">
        <v>0</v>
      </c>
      <c r="DO441">
        <v>0</v>
      </c>
      <c r="DP441">
        <v>1</v>
      </c>
      <c r="DQ441">
        <v>1</v>
      </c>
      <c r="DU441">
        <v>1003</v>
      </c>
      <c r="DV441" t="s">
        <v>18</v>
      </c>
      <c r="DW441" t="s">
        <v>18</v>
      </c>
      <c r="DX441">
        <v>100</v>
      </c>
      <c r="DZ441" t="s">
        <v>3</v>
      </c>
      <c r="EA441" t="s">
        <v>3</v>
      </c>
      <c r="EB441" t="s">
        <v>3</v>
      </c>
      <c r="EC441" t="s">
        <v>3</v>
      </c>
      <c r="EE441">
        <v>1441815344</v>
      </c>
      <c r="EF441">
        <v>1</v>
      </c>
      <c r="EG441" t="s">
        <v>21</v>
      </c>
      <c r="EH441">
        <v>0</v>
      </c>
      <c r="EI441" t="s">
        <v>3</v>
      </c>
      <c r="EJ441">
        <v>4</v>
      </c>
      <c r="EK441">
        <v>0</v>
      </c>
      <c r="EL441" t="s">
        <v>22</v>
      </c>
      <c r="EM441" t="s">
        <v>23</v>
      </c>
      <c r="EO441" t="s">
        <v>3</v>
      </c>
      <c r="EQ441">
        <v>1024</v>
      </c>
      <c r="ER441">
        <v>176.66</v>
      </c>
      <c r="ES441">
        <v>0</v>
      </c>
      <c r="ET441">
        <v>0</v>
      </c>
      <c r="EU441">
        <v>0</v>
      </c>
      <c r="EV441">
        <v>176.66</v>
      </c>
      <c r="EW441">
        <v>0.33</v>
      </c>
      <c r="EX441">
        <v>0</v>
      </c>
      <c r="EY441">
        <v>0</v>
      </c>
      <c r="FQ441">
        <v>0</v>
      </c>
      <c r="FR441">
        <f>ROUND(IF(BI441=3,GM441,0),2)</f>
        <v>0</v>
      </c>
      <c r="FS441">
        <v>0</v>
      </c>
      <c r="FX441">
        <v>70</v>
      </c>
      <c r="FY441">
        <v>10</v>
      </c>
      <c r="GA441" t="s">
        <v>3</v>
      </c>
      <c r="GD441">
        <v>0</v>
      </c>
      <c r="GF441">
        <v>-1250954649</v>
      </c>
      <c r="GG441">
        <v>2</v>
      </c>
      <c r="GH441">
        <v>1</v>
      </c>
      <c r="GI441">
        <v>-2</v>
      </c>
      <c r="GJ441">
        <v>0</v>
      </c>
      <c r="GK441">
        <f>ROUND(R441*(R12)/100,2)</f>
        <v>0</v>
      </c>
      <c r="GL441">
        <f>ROUND(IF(AND(BH441=3,BI441=3,FS441&lt;&gt;0),P441,0),2)</f>
        <v>0</v>
      </c>
      <c r="GM441">
        <f>ROUND(O441+X441+Y441+GK441,2)+GX441</f>
        <v>23.86</v>
      </c>
      <c r="GN441">
        <f>IF(OR(BI441=0,BI441=1),GM441-GX441,0)</f>
        <v>0</v>
      </c>
      <c r="GO441">
        <f>IF(BI441=2,GM441-GX441,0)</f>
        <v>0</v>
      </c>
      <c r="GP441">
        <f>IF(BI441=4,GM441-GX441,0)</f>
        <v>23.86</v>
      </c>
      <c r="GR441">
        <v>0</v>
      </c>
      <c r="GS441">
        <v>3</v>
      </c>
      <c r="GT441">
        <v>0</v>
      </c>
      <c r="GU441" t="s">
        <v>3</v>
      </c>
      <c r="GV441">
        <f>ROUND((GT441),6)</f>
        <v>0</v>
      </c>
      <c r="GW441">
        <v>1</v>
      </c>
      <c r="GX441">
        <f>ROUND(HC441*I441,2)</f>
        <v>0</v>
      </c>
      <c r="HA441">
        <v>0</v>
      </c>
      <c r="HB441">
        <v>0</v>
      </c>
      <c r="HC441">
        <f>GV441*GW441</f>
        <v>0</v>
      </c>
      <c r="HE441" t="s">
        <v>3</v>
      </c>
      <c r="HF441" t="s">
        <v>3</v>
      </c>
      <c r="HM441" t="s">
        <v>3</v>
      </c>
      <c r="HN441" t="s">
        <v>3</v>
      </c>
      <c r="HO441" t="s">
        <v>3</v>
      </c>
      <c r="HP441" t="s">
        <v>3</v>
      </c>
      <c r="HQ441" t="s">
        <v>3</v>
      </c>
      <c r="IK441">
        <v>0</v>
      </c>
    </row>
    <row r="443" spans="1:245" x14ac:dyDescent="0.2">
      <c r="A443" s="2">
        <v>51</v>
      </c>
      <c r="B443" s="2">
        <f>B404</f>
        <v>1</v>
      </c>
      <c r="C443" s="2">
        <f>A404</f>
        <v>5</v>
      </c>
      <c r="D443" s="2">
        <f>ROW(A404)</f>
        <v>404</v>
      </c>
      <c r="E443" s="2"/>
      <c r="F443" s="2" t="str">
        <f>IF(F404&lt;&gt;"",F404,"")</f>
        <v>Новый подраздел</v>
      </c>
      <c r="G443" s="2" t="str">
        <f>IF(G404&lt;&gt;"",G404,"")</f>
        <v>Система электроснабжения</v>
      </c>
      <c r="H443" s="2">
        <v>0</v>
      </c>
      <c r="I443" s="2"/>
      <c r="J443" s="2"/>
      <c r="K443" s="2"/>
      <c r="L443" s="2"/>
      <c r="M443" s="2"/>
      <c r="N443" s="2"/>
      <c r="O443" s="2">
        <f t="shared" ref="O443:T443" si="453">ROUND(AB443,2)</f>
        <v>458719.29</v>
      </c>
      <c r="P443" s="2">
        <f t="shared" si="453"/>
        <v>4554.07</v>
      </c>
      <c r="Q443" s="2">
        <f t="shared" si="453"/>
        <v>3830.86</v>
      </c>
      <c r="R443" s="2">
        <f t="shared" si="453"/>
        <v>2429.0300000000002</v>
      </c>
      <c r="S443" s="2">
        <f t="shared" si="453"/>
        <v>450334.36</v>
      </c>
      <c r="T443" s="2">
        <f t="shared" si="453"/>
        <v>0</v>
      </c>
      <c r="U443" s="2">
        <f>AH443</f>
        <v>736.09200000000021</v>
      </c>
      <c r="V443" s="2">
        <f>AI443</f>
        <v>0</v>
      </c>
      <c r="W443" s="2">
        <f>ROUND(AJ443,2)</f>
        <v>0</v>
      </c>
      <c r="X443" s="2">
        <f>ROUND(AK443,2)</f>
        <v>315234.07</v>
      </c>
      <c r="Y443" s="2">
        <f>ROUND(AL443,2)</f>
        <v>45033.440000000002</v>
      </c>
      <c r="Z443" s="2"/>
      <c r="AA443" s="2"/>
      <c r="AB443" s="2">
        <f>ROUND(SUMIF(AA408:AA441,"=1471718271",O408:O441),2)</f>
        <v>458719.29</v>
      </c>
      <c r="AC443" s="2">
        <f>ROUND(SUMIF(AA408:AA441,"=1471718271",P408:P441),2)</f>
        <v>4554.07</v>
      </c>
      <c r="AD443" s="2">
        <f>ROUND(SUMIF(AA408:AA441,"=1471718271",Q408:Q441),2)</f>
        <v>3830.86</v>
      </c>
      <c r="AE443" s="2">
        <f>ROUND(SUMIF(AA408:AA441,"=1471718271",R408:R441),2)</f>
        <v>2429.0300000000002</v>
      </c>
      <c r="AF443" s="2">
        <f>ROUND(SUMIF(AA408:AA441,"=1471718271",S408:S441),2)</f>
        <v>450334.36</v>
      </c>
      <c r="AG443" s="2">
        <f>ROUND(SUMIF(AA408:AA441,"=1471718271",T408:T441),2)</f>
        <v>0</v>
      </c>
      <c r="AH443" s="2">
        <f>SUMIF(AA408:AA441,"=1471718271",U408:U441)</f>
        <v>736.09200000000021</v>
      </c>
      <c r="AI443" s="2">
        <f>SUMIF(AA408:AA441,"=1471718271",V408:V441)</f>
        <v>0</v>
      </c>
      <c r="AJ443" s="2">
        <f>ROUND(SUMIF(AA408:AA441,"=1471718271",W408:W441),2)</f>
        <v>0</v>
      </c>
      <c r="AK443" s="2">
        <f>ROUND(SUMIF(AA408:AA441,"=1471718271",X408:X441),2)</f>
        <v>315234.07</v>
      </c>
      <c r="AL443" s="2">
        <f>ROUND(SUMIF(AA408:AA441,"=1471718271",Y408:Y441),2)</f>
        <v>45033.440000000002</v>
      </c>
      <c r="AM443" s="2"/>
      <c r="AN443" s="2"/>
      <c r="AO443" s="2">
        <f t="shared" ref="AO443:BD443" si="454">ROUND(BX443,2)</f>
        <v>0</v>
      </c>
      <c r="AP443" s="2">
        <f t="shared" si="454"/>
        <v>0</v>
      </c>
      <c r="AQ443" s="2">
        <f t="shared" si="454"/>
        <v>0</v>
      </c>
      <c r="AR443" s="2">
        <f t="shared" si="454"/>
        <v>821610.15</v>
      </c>
      <c r="AS443" s="2">
        <f t="shared" si="454"/>
        <v>0</v>
      </c>
      <c r="AT443" s="2">
        <f t="shared" si="454"/>
        <v>0</v>
      </c>
      <c r="AU443" s="2">
        <f t="shared" si="454"/>
        <v>821610.15</v>
      </c>
      <c r="AV443" s="2">
        <f t="shared" si="454"/>
        <v>4554.07</v>
      </c>
      <c r="AW443" s="2">
        <f t="shared" si="454"/>
        <v>4554.07</v>
      </c>
      <c r="AX443" s="2">
        <f t="shared" si="454"/>
        <v>0</v>
      </c>
      <c r="AY443" s="2">
        <f t="shared" si="454"/>
        <v>4554.07</v>
      </c>
      <c r="AZ443" s="2">
        <f t="shared" si="454"/>
        <v>0</v>
      </c>
      <c r="BA443" s="2">
        <f t="shared" si="454"/>
        <v>0</v>
      </c>
      <c r="BB443" s="2">
        <f t="shared" si="454"/>
        <v>0</v>
      </c>
      <c r="BC443" s="2">
        <f t="shared" si="454"/>
        <v>0</v>
      </c>
      <c r="BD443" s="2">
        <f t="shared" si="454"/>
        <v>0</v>
      </c>
      <c r="BE443" s="2"/>
      <c r="BF443" s="2"/>
      <c r="BG443" s="2"/>
      <c r="BH443" s="2"/>
      <c r="BI443" s="2"/>
      <c r="BJ443" s="2"/>
      <c r="BK443" s="2"/>
      <c r="BL443" s="2"/>
      <c r="BM443" s="2"/>
      <c r="BN443" s="2"/>
      <c r="BO443" s="2"/>
      <c r="BP443" s="2"/>
      <c r="BQ443" s="2"/>
      <c r="BR443" s="2"/>
      <c r="BS443" s="2"/>
      <c r="BT443" s="2"/>
      <c r="BU443" s="2"/>
      <c r="BV443" s="2"/>
      <c r="BW443" s="2"/>
      <c r="BX443" s="2">
        <f>ROUND(SUMIF(AA408:AA441,"=1471718271",FQ408:FQ441),2)</f>
        <v>0</v>
      </c>
      <c r="BY443" s="2">
        <f>ROUND(SUMIF(AA408:AA441,"=1471718271",FR408:FR441),2)</f>
        <v>0</v>
      </c>
      <c r="BZ443" s="2">
        <f>ROUND(SUMIF(AA408:AA441,"=1471718271",GL408:GL441),2)</f>
        <v>0</v>
      </c>
      <c r="CA443" s="2">
        <f>ROUND(SUMIF(AA408:AA441,"=1471718271",GM408:GM441),2)</f>
        <v>821610.15</v>
      </c>
      <c r="CB443" s="2">
        <f>ROUND(SUMIF(AA408:AA441,"=1471718271",GN408:GN441),2)</f>
        <v>0</v>
      </c>
      <c r="CC443" s="2">
        <f>ROUND(SUMIF(AA408:AA441,"=1471718271",GO408:GO441),2)</f>
        <v>0</v>
      </c>
      <c r="CD443" s="2">
        <f>ROUND(SUMIF(AA408:AA441,"=1471718271",GP408:GP441),2)</f>
        <v>821610.15</v>
      </c>
      <c r="CE443" s="2">
        <f>AC443-BX443</f>
        <v>4554.07</v>
      </c>
      <c r="CF443" s="2">
        <f>AC443-BY443</f>
        <v>4554.07</v>
      </c>
      <c r="CG443" s="2">
        <f>BX443-BZ443</f>
        <v>0</v>
      </c>
      <c r="CH443" s="2">
        <f>AC443-BX443-BY443+BZ443</f>
        <v>4554.07</v>
      </c>
      <c r="CI443" s="2">
        <f>BY443-BZ443</f>
        <v>0</v>
      </c>
      <c r="CJ443" s="2">
        <f>ROUND(SUMIF(AA408:AA441,"=1471718271",GX408:GX441),2)</f>
        <v>0</v>
      </c>
      <c r="CK443" s="2">
        <f>ROUND(SUMIF(AA408:AA441,"=1471718271",GY408:GY441),2)</f>
        <v>0</v>
      </c>
      <c r="CL443" s="2">
        <f>ROUND(SUMIF(AA408:AA441,"=1471718271",GZ408:GZ441),2)</f>
        <v>0</v>
      </c>
      <c r="CM443" s="2">
        <f>ROUND(SUMIF(AA408:AA441,"=1471718271",HD408:HD441),2)</f>
        <v>0</v>
      </c>
      <c r="CN443" s="2"/>
      <c r="CO443" s="2"/>
      <c r="CP443" s="2"/>
      <c r="CQ443" s="2"/>
      <c r="CR443" s="2"/>
      <c r="CS443" s="2"/>
      <c r="CT443" s="2"/>
      <c r="CU443" s="2"/>
      <c r="CV443" s="2"/>
      <c r="CW443" s="2"/>
      <c r="CX443" s="2"/>
      <c r="CY443" s="2"/>
      <c r="CZ443" s="2"/>
      <c r="DA443" s="2"/>
      <c r="DB443" s="2"/>
      <c r="DC443" s="2"/>
      <c r="DD443" s="2"/>
      <c r="DE443" s="2"/>
      <c r="DF443" s="2"/>
      <c r="DG443" s="3"/>
      <c r="DH443" s="3"/>
      <c r="DI443" s="3"/>
      <c r="DJ443" s="3"/>
      <c r="DK443" s="3"/>
      <c r="DL443" s="3"/>
      <c r="DM443" s="3"/>
      <c r="DN443" s="3"/>
      <c r="DO443" s="3"/>
      <c r="DP443" s="3"/>
      <c r="DQ443" s="3"/>
      <c r="DR443" s="3"/>
      <c r="DS443" s="3"/>
      <c r="DT443" s="3"/>
      <c r="DU443" s="3"/>
      <c r="DV443" s="3"/>
      <c r="DW443" s="3"/>
      <c r="DX443" s="3"/>
      <c r="DY443" s="3"/>
      <c r="DZ443" s="3"/>
      <c r="EA443" s="3"/>
      <c r="EB443" s="3"/>
      <c r="EC443" s="3"/>
      <c r="ED443" s="3"/>
      <c r="EE443" s="3"/>
      <c r="EF443" s="3"/>
      <c r="EG443" s="3"/>
      <c r="EH443" s="3"/>
      <c r="EI443" s="3"/>
      <c r="EJ443" s="3"/>
      <c r="EK443" s="3"/>
      <c r="EL443" s="3"/>
      <c r="EM443" s="3"/>
      <c r="EN443" s="3"/>
      <c r="EO443" s="3"/>
      <c r="EP443" s="3"/>
      <c r="EQ443" s="3"/>
      <c r="ER443" s="3"/>
      <c r="ES443" s="3"/>
      <c r="ET443" s="3"/>
      <c r="EU443" s="3"/>
      <c r="EV443" s="3"/>
      <c r="EW443" s="3"/>
      <c r="EX443" s="3"/>
      <c r="EY443" s="3"/>
      <c r="EZ443" s="3"/>
      <c r="FA443" s="3"/>
      <c r="FB443" s="3"/>
      <c r="FC443" s="3"/>
      <c r="FD443" s="3"/>
      <c r="FE443" s="3"/>
      <c r="FF443" s="3"/>
      <c r="FG443" s="3"/>
      <c r="FH443" s="3"/>
      <c r="FI443" s="3"/>
      <c r="FJ443" s="3"/>
      <c r="FK443" s="3"/>
      <c r="FL443" s="3"/>
      <c r="FM443" s="3"/>
      <c r="FN443" s="3"/>
      <c r="FO443" s="3"/>
      <c r="FP443" s="3"/>
      <c r="FQ443" s="3"/>
      <c r="FR443" s="3"/>
      <c r="FS443" s="3"/>
      <c r="FT443" s="3"/>
      <c r="FU443" s="3"/>
      <c r="FV443" s="3"/>
      <c r="FW443" s="3"/>
      <c r="FX443" s="3"/>
      <c r="FY443" s="3"/>
      <c r="FZ443" s="3"/>
      <c r="GA443" s="3"/>
      <c r="GB443" s="3"/>
      <c r="GC443" s="3"/>
      <c r="GD443" s="3"/>
      <c r="GE443" s="3"/>
      <c r="GF443" s="3"/>
      <c r="GG443" s="3"/>
      <c r="GH443" s="3"/>
      <c r="GI443" s="3"/>
      <c r="GJ443" s="3"/>
      <c r="GK443" s="3"/>
      <c r="GL443" s="3"/>
      <c r="GM443" s="3"/>
      <c r="GN443" s="3"/>
      <c r="GO443" s="3"/>
      <c r="GP443" s="3"/>
      <c r="GQ443" s="3"/>
      <c r="GR443" s="3"/>
      <c r="GS443" s="3"/>
      <c r="GT443" s="3"/>
      <c r="GU443" s="3"/>
      <c r="GV443" s="3"/>
      <c r="GW443" s="3"/>
      <c r="GX443" s="3">
        <v>0</v>
      </c>
    </row>
    <row r="445" spans="1:245" x14ac:dyDescent="0.2">
      <c r="A445" s="4">
        <v>50</v>
      </c>
      <c r="B445" s="4">
        <v>0</v>
      </c>
      <c r="C445" s="4">
        <v>0</v>
      </c>
      <c r="D445" s="4">
        <v>1</v>
      </c>
      <c r="E445" s="4">
        <v>201</v>
      </c>
      <c r="F445" s="4">
        <f>ROUND(Source!O443,O445)</f>
        <v>458719.29</v>
      </c>
      <c r="G445" s="4" t="s">
        <v>98</v>
      </c>
      <c r="H445" s="4" t="s">
        <v>99</v>
      </c>
      <c r="I445" s="4"/>
      <c r="J445" s="4"/>
      <c r="K445" s="4">
        <v>201</v>
      </c>
      <c r="L445" s="4">
        <v>1</v>
      </c>
      <c r="M445" s="4">
        <v>3</v>
      </c>
      <c r="N445" s="4" t="s">
        <v>3</v>
      </c>
      <c r="O445" s="4">
        <v>2</v>
      </c>
      <c r="P445" s="4"/>
      <c r="Q445" s="4"/>
      <c r="R445" s="4"/>
      <c r="S445" s="4"/>
      <c r="T445" s="4"/>
      <c r="U445" s="4"/>
      <c r="V445" s="4"/>
      <c r="W445" s="4">
        <v>13505.9</v>
      </c>
      <c r="X445" s="4">
        <v>1</v>
      </c>
      <c r="Y445" s="4">
        <v>13505.9</v>
      </c>
      <c r="Z445" s="4"/>
      <c r="AA445" s="4"/>
      <c r="AB445" s="4"/>
    </row>
    <row r="446" spans="1:245" x14ac:dyDescent="0.2">
      <c r="A446" s="4">
        <v>50</v>
      </c>
      <c r="B446" s="4">
        <v>0</v>
      </c>
      <c r="C446" s="4">
        <v>0</v>
      </c>
      <c r="D446" s="4">
        <v>1</v>
      </c>
      <c r="E446" s="4">
        <v>202</v>
      </c>
      <c r="F446" s="4">
        <f>ROUND(Source!P443,O446)</f>
        <v>4554.07</v>
      </c>
      <c r="G446" s="4" t="s">
        <v>100</v>
      </c>
      <c r="H446" s="4" t="s">
        <v>101</v>
      </c>
      <c r="I446" s="4"/>
      <c r="J446" s="4"/>
      <c r="K446" s="4">
        <v>202</v>
      </c>
      <c r="L446" s="4">
        <v>2</v>
      </c>
      <c r="M446" s="4">
        <v>3</v>
      </c>
      <c r="N446" s="4" t="s">
        <v>3</v>
      </c>
      <c r="O446" s="4">
        <v>2</v>
      </c>
      <c r="P446" s="4"/>
      <c r="Q446" s="4"/>
      <c r="R446" s="4"/>
      <c r="S446" s="4"/>
      <c r="T446" s="4"/>
      <c r="U446" s="4"/>
      <c r="V446" s="4"/>
      <c r="W446" s="4">
        <v>95.12</v>
      </c>
      <c r="X446" s="4">
        <v>1</v>
      </c>
      <c r="Y446" s="4">
        <v>95.12</v>
      </c>
      <c r="Z446" s="4"/>
      <c r="AA446" s="4"/>
      <c r="AB446" s="4"/>
    </row>
    <row r="447" spans="1:245" x14ac:dyDescent="0.2">
      <c r="A447" s="4">
        <v>50</v>
      </c>
      <c r="B447" s="4">
        <v>0</v>
      </c>
      <c r="C447" s="4">
        <v>0</v>
      </c>
      <c r="D447" s="4">
        <v>1</v>
      </c>
      <c r="E447" s="4">
        <v>222</v>
      </c>
      <c r="F447" s="4">
        <f>ROUND(Source!AO443,O447)</f>
        <v>0</v>
      </c>
      <c r="G447" s="4" t="s">
        <v>102</v>
      </c>
      <c r="H447" s="4" t="s">
        <v>103</v>
      </c>
      <c r="I447" s="4"/>
      <c r="J447" s="4"/>
      <c r="K447" s="4">
        <v>222</v>
      </c>
      <c r="L447" s="4">
        <v>3</v>
      </c>
      <c r="M447" s="4">
        <v>3</v>
      </c>
      <c r="N447" s="4" t="s">
        <v>3</v>
      </c>
      <c r="O447" s="4">
        <v>2</v>
      </c>
      <c r="P447" s="4"/>
      <c r="Q447" s="4"/>
      <c r="R447" s="4"/>
      <c r="S447" s="4"/>
      <c r="T447" s="4"/>
      <c r="U447" s="4"/>
      <c r="V447" s="4"/>
      <c r="W447" s="4">
        <v>0</v>
      </c>
      <c r="X447" s="4">
        <v>1</v>
      </c>
      <c r="Y447" s="4">
        <v>0</v>
      </c>
      <c r="Z447" s="4"/>
      <c r="AA447" s="4"/>
      <c r="AB447" s="4"/>
    </row>
    <row r="448" spans="1:245" x14ac:dyDescent="0.2">
      <c r="A448" s="4">
        <v>50</v>
      </c>
      <c r="B448" s="4">
        <v>0</v>
      </c>
      <c r="C448" s="4">
        <v>0</v>
      </c>
      <c r="D448" s="4">
        <v>1</v>
      </c>
      <c r="E448" s="4">
        <v>225</v>
      </c>
      <c r="F448" s="4">
        <f>ROUND(Source!AV443,O448)</f>
        <v>4554.07</v>
      </c>
      <c r="G448" s="4" t="s">
        <v>104</v>
      </c>
      <c r="H448" s="4" t="s">
        <v>105</v>
      </c>
      <c r="I448" s="4"/>
      <c r="J448" s="4"/>
      <c r="K448" s="4">
        <v>225</v>
      </c>
      <c r="L448" s="4">
        <v>4</v>
      </c>
      <c r="M448" s="4">
        <v>3</v>
      </c>
      <c r="N448" s="4" t="s">
        <v>3</v>
      </c>
      <c r="O448" s="4">
        <v>2</v>
      </c>
      <c r="P448" s="4"/>
      <c r="Q448" s="4"/>
      <c r="R448" s="4"/>
      <c r="S448" s="4"/>
      <c r="T448" s="4"/>
      <c r="U448" s="4"/>
      <c r="V448" s="4"/>
      <c r="W448" s="4">
        <v>95.12</v>
      </c>
      <c r="X448" s="4">
        <v>1</v>
      </c>
      <c r="Y448" s="4">
        <v>95.12</v>
      </c>
      <c r="Z448" s="4"/>
      <c r="AA448" s="4"/>
      <c r="AB448" s="4"/>
    </row>
    <row r="449" spans="1:28" x14ac:dyDescent="0.2">
      <c r="A449" s="4">
        <v>50</v>
      </c>
      <c r="B449" s="4">
        <v>0</v>
      </c>
      <c r="C449" s="4">
        <v>0</v>
      </c>
      <c r="D449" s="4">
        <v>1</v>
      </c>
      <c r="E449" s="4">
        <v>226</v>
      </c>
      <c r="F449" s="4">
        <f>ROUND(Source!AW443,O449)</f>
        <v>4554.07</v>
      </c>
      <c r="G449" s="4" t="s">
        <v>106</v>
      </c>
      <c r="H449" s="4" t="s">
        <v>107</v>
      </c>
      <c r="I449" s="4"/>
      <c r="J449" s="4"/>
      <c r="K449" s="4">
        <v>226</v>
      </c>
      <c r="L449" s="4">
        <v>5</v>
      </c>
      <c r="M449" s="4">
        <v>3</v>
      </c>
      <c r="N449" s="4" t="s">
        <v>3</v>
      </c>
      <c r="O449" s="4">
        <v>2</v>
      </c>
      <c r="P449" s="4"/>
      <c r="Q449" s="4"/>
      <c r="R449" s="4"/>
      <c r="S449" s="4"/>
      <c r="T449" s="4"/>
      <c r="U449" s="4"/>
      <c r="V449" s="4"/>
      <c r="W449" s="4">
        <v>95.12</v>
      </c>
      <c r="X449" s="4">
        <v>1</v>
      </c>
      <c r="Y449" s="4">
        <v>95.12</v>
      </c>
      <c r="Z449" s="4"/>
      <c r="AA449" s="4"/>
      <c r="AB449" s="4"/>
    </row>
    <row r="450" spans="1:28" x14ac:dyDescent="0.2">
      <c r="A450" s="4">
        <v>50</v>
      </c>
      <c r="B450" s="4">
        <v>0</v>
      </c>
      <c r="C450" s="4">
        <v>0</v>
      </c>
      <c r="D450" s="4">
        <v>1</v>
      </c>
      <c r="E450" s="4">
        <v>227</v>
      </c>
      <c r="F450" s="4">
        <f>ROUND(Source!AX443,O450)</f>
        <v>0</v>
      </c>
      <c r="G450" s="4" t="s">
        <v>108</v>
      </c>
      <c r="H450" s="4" t="s">
        <v>109</v>
      </c>
      <c r="I450" s="4"/>
      <c r="J450" s="4"/>
      <c r="K450" s="4">
        <v>227</v>
      </c>
      <c r="L450" s="4">
        <v>6</v>
      </c>
      <c r="M450" s="4">
        <v>3</v>
      </c>
      <c r="N450" s="4" t="s">
        <v>3</v>
      </c>
      <c r="O450" s="4">
        <v>2</v>
      </c>
      <c r="P450" s="4"/>
      <c r="Q450" s="4"/>
      <c r="R450" s="4"/>
      <c r="S450" s="4"/>
      <c r="T450" s="4"/>
      <c r="U450" s="4"/>
      <c r="V450" s="4"/>
      <c r="W450" s="4">
        <v>0</v>
      </c>
      <c r="X450" s="4">
        <v>1</v>
      </c>
      <c r="Y450" s="4">
        <v>0</v>
      </c>
      <c r="Z450" s="4"/>
      <c r="AA450" s="4"/>
      <c r="AB450" s="4"/>
    </row>
    <row r="451" spans="1:28" x14ac:dyDescent="0.2">
      <c r="A451" s="4">
        <v>50</v>
      </c>
      <c r="B451" s="4">
        <v>0</v>
      </c>
      <c r="C451" s="4">
        <v>0</v>
      </c>
      <c r="D451" s="4">
        <v>1</v>
      </c>
      <c r="E451" s="4">
        <v>228</v>
      </c>
      <c r="F451" s="4">
        <f>ROUND(Source!AY443,O451)</f>
        <v>4554.07</v>
      </c>
      <c r="G451" s="4" t="s">
        <v>110</v>
      </c>
      <c r="H451" s="4" t="s">
        <v>111</v>
      </c>
      <c r="I451" s="4"/>
      <c r="J451" s="4"/>
      <c r="K451" s="4">
        <v>228</v>
      </c>
      <c r="L451" s="4">
        <v>7</v>
      </c>
      <c r="M451" s="4">
        <v>3</v>
      </c>
      <c r="N451" s="4" t="s">
        <v>3</v>
      </c>
      <c r="O451" s="4">
        <v>2</v>
      </c>
      <c r="P451" s="4"/>
      <c r="Q451" s="4"/>
      <c r="R451" s="4"/>
      <c r="S451" s="4"/>
      <c r="T451" s="4"/>
      <c r="U451" s="4"/>
      <c r="V451" s="4"/>
      <c r="W451" s="4">
        <v>95.12</v>
      </c>
      <c r="X451" s="4">
        <v>1</v>
      </c>
      <c r="Y451" s="4">
        <v>95.12</v>
      </c>
      <c r="Z451" s="4"/>
      <c r="AA451" s="4"/>
      <c r="AB451" s="4"/>
    </row>
    <row r="452" spans="1:28" x14ac:dyDescent="0.2">
      <c r="A452" s="4">
        <v>50</v>
      </c>
      <c r="B452" s="4">
        <v>0</v>
      </c>
      <c r="C452" s="4">
        <v>0</v>
      </c>
      <c r="D452" s="4">
        <v>1</v>
      </c>
      <c r="E452" s="4">
        <v>216</v>
      </c>
      <c r="F452" s="4">
        <f>ROUND(Source!AP443,O452)</f>
        <v>0</v>
      </c>
      <c r="G452" s="4" t="s">
        <v>112</v>
      </c>
      <c r="H452" s="4" t="s">
        <v>113</v>
      </c>
      <c r="I452" s="4"/>
      <c r="J452" s="4"/>
      <c r="K452" s="4">
        <v>216</v>
      </c>
      <c r="L452" s="4">
        <v>8</v>
      </c>
      <c r="M452" s="4">
        <v>3</v>
      </c>
      <c r="N452" s="4" t="s">
        <v>3</v>
      </c>
      <c r="O452" s="4">
        <v>2</v>
      </c>
      <c r="P452" s="4"/>
      <c r="Q452" s="4"/>
      <c r="R452" s="4"/>
      <c r="S452" s="4"/>
      <c r="T452" s="4"/>
      <c r="U452" s="4"/>
      <c r="V452" s="4"/>
      <c r="W452" s="4">
        <v>0</v>
      </c>
      <c r="X452" s="4">
        <v>1</v>
      </c>
      <c r="Y452" s="4">
        <v>0</v>
      </c>
      <c r="Z452" s="4"/>
      <c r="AA452" s="4"/>
      <c r="AB452" s="4"/>
    </row>
    <row r="453" spans="1:28" x14ac:dyDescent="0.2">
      <c r="A453" s="4">
        <v>50</v>
      </c>
      <c r="B453" s="4">
        <v>0</v>
      </c>
      <c r="C453" s="4">
        <v>0</v>
      </c>
      <c r="D453" s="4">
        <v>1</v>
      </c>
      <c r="E453" s="4">
        <v>223</v>
      </c>
      <c r="F453" s="4">
        <f>ROUND(Source!AQ443,O453)</f>
        <v>0</v>
      </c>
      <c r="G453" s="4" t="s">
        <v>114</v>
      </c>
      <c r="H453" s="4" t="s">
        <v>115</v>
      </c>
      <c r="I453" s="4"/>
      <c r="J453" s="4"/>
      <c r="K453" s="4">
        <v>223</v>
      </c>
      <c r="L453" s="4">
        <v>9</v>
      </c>
      <c r="M453" s="4">
        <v>3</v>
      </c>
      <c r="N453" s="4" t="s">
        <v>3</v>
      </c>
      <c r="O453" s="4">
        <v>2</v>
      </c>
      <c r="P453" s="4"/>
      <c r="Q453" s="4"/>
      <c r="R453" s="4"/>
      <c r="S453" s="4"/>
      <c r="T453" s="4"/>
      <c r="U453" s="4"/>
      <c r="V453" s="4"/>
      <c r="W453" s="4">
        <v>0</v>
      </c>
      <c r="X453" s="4">
        <v>1</v>
      </c>
      <c r="Y453" s="4">
        <v>0</v>
      </c>
      <c r="Z453" s="4"/>
      <c r="AA453" s="4"/>
      <c r="AB453" s="4"/>
    </row>
    <row r="454" spans="1:28" x14ac:dyDescent="0.2">
      <c r="A454" s="4">
        <v>50</v>
      </c>
      <c r="B454" s="4">
        <v>0</v>
      </c>
      <c r="C454" s="4">
        <v>0</v>
      </c>
      <c r="D454" s="4">
        <v>1</v>
      </c>
      <c r="E454" s="4">
        <v>229</v>
      </c>
      <c r="F454" s="4">
        <f>ROUND(Source!AZ443,O454)</f>
        <v>0</v>
      </c>
      <c r="G454" s="4" t="s">
        <v>116</v>
      </c>
      <c r="H454" s="4" t="s">
        <v>117</v>
      </c>
      <c r="I454" s="4"/>
      <c r="J454" s="4"/>
      <c r="K454" s="4">
        <v>229</v>
      </c>
      <c r="L454" s="4">
        <v>10</v>
      </c>
      <c r="M454" s="4">
        <v>3</v>
      </c>
      <c r="N454" s="4" t="s">
        <v>3</v>
      </c>
      <c r="O454" s="4">
        <v>2</v>
      </c>
      <c r="P454" s="4"/>
      <c r="Q454" s="4"/>
      <c r="R454" s="4"/>
      <c r="S454" s="4"/>
      <c r="T454" s="4"/>
      <c r="U454" s="4"/>
      <c r="V454" s="4"/>
      <c r="W454" s="4">
        <v>0</v>
      </c>
      <c r="X454" s="4">
        <v>1</v>
      </c>
      <c r="Y454" s="4">
        <v>0</v>
      </c>
      <c r="Z454" s="4"/>
      <c r="AA454" s="4"/>
      <c r="AB454" s="4"/>
    </row>
    <row r="455" spans="1:28" x14ac:dyDescent="0.2">
      <c r="A455" s="4">
        <v>50</v>
      </c>
      <c r="B455" s="4">
        <v>0</v>
      </c>
      <c r="C455" s="4">
        <v>0</v>
      </c>
      <c r="D455" s="4">
        <v>1</v>
      </c>
      <c r="E455" s="4">
        <v>203</v>
      </c>
      <c r="F455" s="4">
        <f>ROUND(Source!Q443,O455)</f>
        <v>3830.86</v>
      </c>
      <c r="G455" s="4" t="s">
        <v>118</v>
      </c>
      <c r="H455" s="4" t="s">
        <v>119</v>
      </c>
      <c r="I455" s="4"/>
      <c r="J455" s="4"/>
      <c r="K455" s="4">
        <v>203</v>
      </c>
      <c r="L455" s="4">
        <v>11</v>
      </c>
      <c r="M455" s="4">
        <v>3</v>
      </c>
      <c r="N455" s="4" t="s">
        <v>3</v>
      </c>
      <c r="O455" s="4">
        <v>2</v>
      </c>
      <c r="P455" s="4"/>
      <c r="Q455" s="4"/>
      <c r="R455" s="4"/>
      <c r="S455" s="4"/>
      <c r="T455" s="4"/>
      <c r="U455" s="4"/>
      <c r="V455" s="4"/>
      <c r="W455" s="4">
        <v>0</v>
      </c>
      <c r="X455" s="4">
        <v>1</v>
      </c>
      <c r="Y455" s="4">
        <v>0</v>
      </c>
      <c r="Z455" s="4"/>
      <c r="AA455" s="4"/>
      <c r="AB455" s="4"/>
    </row>
    <row r="456" spans="1:28" x14ac:dyDescent="0.2">
      <c r="A456" s="4">
        <v>50</v>
      </c>
      <c r="B456" s="4">
        <v>0</v>
      </c>
      <c r="C456" s="4">
        <v>0</v>
      </c>
      <c r="D456" s="4">
        <v>1</v>
      </c>
      <c r="E456" s="4">
        <v>231</v>
      </c>
      <c r="F456" s="4">
        <f>ROUND(Source!BB443,O456)</f>
        <v>0</v>
      </c>
      <c r="G456" s="4" t="s">
        <v>120</v>
      </c>
      <c r="H456" s="4" t="s">
        <v>121</v>
      </c>
      <c r="I456" s="4"/>
      <c r="J456" s="4"/>
      <c r="K456" s="4">
        <v>231</v>
      </c>
      <c r="L456" s="4">
        <v>12</v>
      </c>
      <c r="M456" s="4">
        <v>3</v>
      </c>
      <c r="N456" s="4" t="s">
        <v>3</v>
      </c>
      <c r="O456" s="4">
        <v>2</v>
      </c>
      <c r="P456" s="4"/>
      <c r="Q456" s="4"/>
      <c r="R456" s="4"/>
      <c r="S456" s="4"/>
      <c r="T456" s="4"/>
      <c r="U456" s="4"/>
      <c r="V456" s="4"/>
      <c r="W456" s="4">
        <v>0</v>
      </c>
      <c r="X456" s="4">
        <v>1</v>
      </c>
      <c r="Y456" s="4">
        <v>0</v>
      </c>
      <c r="Z456" s="4"/>
      <c r="AA456" s="4"/>
      <c r="AB456" s="4"/>
    </row>
    <row r="457" spans="1:28" x14ac:dyDescent="0.2">
      <c r="A457" s="4">
        <v>50</v>
      </c>
      <c r="B457" s="4">
        <v>0</v>
      </c>
      <c r="C457" s="4">
        <v>0</v>
      </c>
      <c r="D457" s="4">
        <v>1</v>
      </c>
      <c r="E457" s="4">
        <v>204</v>
      </c>
      <c r="F457" s="4">
        <f>ROUND(Source!R443,O457)</f>
        <v>2429.0300000000002</v>
      </c>
      <c r="G457" s="4" t="s">
        <v>122</v>
      </c>
      <c r="H457" s="4" t="s">
        <v>123</v>
      </c>
      <c r="I457" s="4"/>
      <c r="J457" s="4"/>
      <c r="K457" s="4">
        <v>204</v>
      </c>
      <c r="L457" s="4">
        <v>13</v>
      </c>
      <c r="M457" s="4">
        <v>3</v>
      </c>
      <c r="N457" s="4" t="s">
        <v>3</v>
      </c>
      <c r="O457" s="4">
        <v>2</v>
      </c>
      <c r="P457" s="4"/>
      <c r="Q457" s="4"/>
      <c r="R457" s="4"/>
      <c r="S457" s="4"/>
      <c r="T457" s="4"/>
      <c r="U457" s="4"/>
      <c r="V457" s="4"/>
      <c r="W457" s="4">
        <v>0</v>
      </c>
      <c r="X457" s="4">
        <v>1</v>
      </c>
      <c r="Y457" s="4">
        <v>0</v>
      </c>
      <c r="Z457" s="4"/>
      <c r="AA457" s="4"/>
      <c r="AB457" s="4"/>
    </row>
    <row r="458" spans="1:28" x14ac:dyDescent="0.2">
      <c r="A458" s="4">
        <v>50</v>
      </c>
      <c r="B458" s="4">
        <v>0</v>
      </c>
      <c r="C458" s="4">
        <v>0</v>
      </c>
      <c r="D458" s="4">
        <v>1</v>
      </c>
      <c r="E458" s="4">
        <v>205</v>
      </c>
      <c r="F458" s="4">
        <f>ROUND(Source!S443,O458)</f>
        <v>450334.36</v>
      </c>
      <c r="G458" s="4" t="s">
        <v>124</v>
      </c>
      <c r="H458" s="4" t="s">
        <v>125</v>
      </c>
      <c r="I458" s="4"/>
      <c r="J458" s="4"/>
      <c r="K458" s="4">
        <v>205</v>
      </c>
      <c r="L458" s="4">
        <v>14</v>
      </c>
      <c r="M458" s="4">
        <v>3</v>
      </c>
      <c r="N458" s="4" t="s">
        <v>3</v>
      </c>
      <c r="O458" s="4">
        <v>2</v>
      </c>
      <c r="P458" s="4"/>
      <c r="Q458" s="4"/>
      <c r="R458" s="4"/>
      <c r="S458" s="4"/>
      <c r="T458" s="4"/>
      <c r="U458" s="4"/>
      <c r="V458" s="4"/>
      <c r="W458" s="4">
        <v>13410.78</v>
      </c>
      <c r="X458" s="4">
        <v>1</v>
      </c>
      <c r="Y458" s="4">
        <v>13410.78</v>
      </c>
      <c r="Z458" s="4"/>
      <c r="AA458" s="4"/>
      <c r="AB458" s="4"/>
    </row>
    <row r="459" spans="1:28" x14ac:dyDescent="0.2">
      <c r="A459" s="4">
        <v>50</v>
      </c>
      <c r="B459" s="4">
        <v>0</v>
      </c>
      <c r="C459" s="4">
        <v>0</v>
      </c>
      <c r="D459" s="4">
        <v>1</v>
      </c>
      <c r="E459" s="4">
        <v>232</v>
      </c>
      <c r="F459" s="4">
        <f>ROUND(Source!BC443,O459)</f>
        <v>0</v>
      </c>
      <c r="G459" s="4" t="s">
        <v>126</v>
      </c>
      <c r="H459" s="4" t="s">
        <v>127</v>
      </c>
      <c r="I459" s="4"/>
      <c r="J459" s="4"/>
      <c r="K459" s="4">
        <v>232</v>
      </c>
      <c r="L459" s="4">
        <v>15</v>
      </c>
      <c r="M459" s="4">
        <v>3</v>
      </c>
      <c r="N459" s="4" t="s">
        <v>3</v>
      </c>
      <c r="O459" s="4">
        <v>2</v>
      </c>
      <c r="P459" s="4"/>
      <c r="Q459" s="4"/>
      <c r="R459" s="4"/>
      <c r="S459" s="4"/>
      <c r="T459" s="4"/>
      <c r="U459" s="4"/>
      <c r="V459" s="4"/>
      <c r="W459" s="4">
        <v>0</v>
      </c>
      <c r="X459" s="4">
        <v>1</v>
      </c>
      <c r="Y459" s="4">
        <v>0</v>
      </c>
      <c r="Z459" s="4"/>
      <c r="AA459" s="4"/>
      <c r="AB459" s="4"/>
    </row>
    <row r="460" spans="1:28" x14ac:dyDescent="0.2">
      <c r="A460" s="4">
        <v>50</v>
      </c>
      <c r="B460" s="4">
        <v>0</v>
      </c>
      <c r="C460" s="4">
        <v>0</v>
      </c>
      <c r="D460" s="4">
        <v>1</v>
      </c>
      <c r="E460" s="4">
        <v>214</v>
      </c>
      <c r="F460" s="4">
        <f>ROUND(Source!AS443,O460)</f>
        <v>0</v>
      </c>
      <c r="G460" s="4" t="s">
        <v>128</v>
      </c>
      <c r="H460" s="4" t="s">
        <v>129</v>
      </c>
      <c r="I460" s="4"/>
      <c r="J460" s="4"/>
      <c r="K460" s="4">
        <v>214</v>
      </c>
      <c r="L460" s="4">
        <v>16</v>
      </c>
      <c r="M460" s="4">
        <v>3</v>
      </c>
      <c r="N460" s="4" t="s">
        <v>3</v>
      </c>
      <c r="O460" s="4">
        <v>2</v>
      </c>
      <c r="P460" s="4"/>
      <c r="Q460" s="4"/>
      <c r="R460" s="4"/>
      <c r="S460" s="4"/>
      <c r="T460" s="4"/>
      <c r="U460" s="4"/>
      <c r="V460" s="4"/>
      <c r="W460" s="4">
        <v>0</v>
      </c>
      <c r="X460" s="4">
        <v>1</v>
      </c>
      <c r="Y460" s="4">
        <v>0</v>
      </c>
      <c r="Z460" s="4"/>
      <c r="AA460" s="4"/>
      <c r="AB460" s="4"/>
    </row>
    <row r="461" spans="1:28" x14ac:dyDescent="0.2">
      <c r="A461" s="4">
        <v>50</v>
      </c>
      <c r="B461" s="4">
        <v>0</v>
      </c>
      <c r="C461" s="4">
        <v>0</v>
      </c>
      <c r="D461" s="4">
        <v>1</v>
      </c>
      <c r="E461" s="4">
        <v>215</v>
      </c>
      <c r="F461" s="4">
        <f>ROUND(Source!AT443,O461)</f>
        <v>0</v>
      </c>
      <c r="G461" s="4" t="s">
        <v>130</v>
      </c>
      <c r="H461" s="4" t="s">
        <v>131</v>
      </c>
      <c r="I461" s="4"/>
      <c r="J461" s="4"/>
      <c r="K461" s="4">
        <v>215</v>
      </c>
      <c r="L461" s="4">
        <v>17</v>
      </c>
      <c r="M461" s="4">
        <v>3</v>
      </c>
      <c r="N461" s="4" t="s">
        <v>3</v>
      </c>
      <c r="O461" s="4">
        <v>2</v>
      </c>
      <c r="P461" s="4"/>
      <c r="Q461" s="4"/>
      <c r="R461" s="4"/>
      <c r="S461" s="4"/>
      <c r="T461" s="4"/>
      <c r="U461" s="4"/>
      <c r="V461" s="4"/>
      <c r="W461" s="4">
        <v>0</v>
      </c>
      <c r="X461" s="4">
        <v>1</v>
      </c>
      <c r="Y461" s="4">
        <v>0</v>
      </c>
      <c r="Z461" s="4"/>
      <c r="AA461" s="4"/>
      <c r="AB461" s="4"/>
    </row>
    <row r="462" spans="1:28" x14ac:dyDescent="0.2">
      <c r="A462" s="4">
        <v>50</v>
      </c>
      <c r="B462" s="4">
        <v>0</v>
      </c>
      <c r="C462" s="4">
        <v>0</v>
      </c>
      <c r="D462" s="4">
        <v>1</v>
      </c>
      <c r="E462" s="4">
        <v>217</v>
      </c>
      <c r="F462" s="4">
        <f>ROUND(Source!AU443,O462)</f>
        <v>821610.15</v>
      </c>
      <c r="G462" s="4" t="s">
        <v>132</v>
      </c>
      <c r="H462" s="4" t="s">
        <v>133</v>
      </c>
      <c r="I462" s="4"/>
      <c r="J462" s="4"/>
      <c r="K462" s="4">
        <v>217</v>
      </c>
      <c r="L462" s="4">
        <v>18</v>
      </c>
      <c r="M462" s="4">
        <v>3</v>
      </c>
      <c r="N462" s="4" t="s">
        <v>3</v>
      </c>
      <c r="O462" s="4">
        <v>2</v>
      </c>
      <c r="P462" s="4"/>
      <c r="Q462" s="4"/>
      <c r="R462" s="4"/>
      <c r="S462" s="4"/>
      <c r="T462" s="4"/>
      <c r="U462" s="4"/>
      <c r="V462" s="4"/>
      <c r="W462" s="4">
        <v>24234.53</v>
      </c>
      <c r="X462" s="4">
        <v>1</v>
      </c>
      <c r="Y462" s="4">
        <v>24234.53</v>
      </c>
      <c r="Z462" s="4"/>
      <c r="AA462" s="4"/>
      <c r="AB462" s="4"/>
    </row>
    <row r="463" spans="1:28" x14ac:dyDescent="0.2">
      <c r="A463" s="4">
        <v>50</v>
      </c>
      <c r="B463" s="4">
        <v>0</v>
      </c>
      <c r="C463" s="4">
        <v>0</v>
      </c>
      <c r="D463" s="4">
        <v>1</v>
      </c>
      <c r="E463" s="4">
        <v>230</v>
      </c>
      <c r="F463" s="4">
        <f>ROUND(Source!BA443,O463)</f>
        <v>0</v>
      </c>
      <c r="G463" s="4" t="s">
        <v>134</v>
      </c>
      <c r="H463" s="4" t="s">
        <v>135</v>
      </c>
      <c r="I463" s="4"/>
      <c r="J463" s="4"/>
      <c r="K463" s="4">
        <v>230</v>
      </c>
      <c r="L463" s="4">
        <v>19</v>
      </c>
      <c r="M463" s="4">
        <v>3</v>
      </c>
      <c r="N463" s="4" t="s">
        <v>3</v>
      </c>
      <c r="O463" s="4">
        <v>2</v>
      </c>
      <c r="P463" s="4"/>
      <c r="Q463" s="4"/>
      <c r="R463" s="4"/>
      <c r="S463" s="4"/>
      <c r="T463" s="4"/>
      <c r="U463" s="4"/>
      <c r="V463" s="4"/>
      <c r="W463" s="4">
        <v>0</v>
      </c>
      <c r="X463" s="4">
        <v>1</v>
      </c>
      <c r="Y463" s="4">
        <v>0</v>
      </c>
      <c r="Z463" s="4"/>
      <c r="AA463" s="4"/>
      <c r="AB463" s="4"/>
    </row>
    <row r="464" spans="1:28" x14ac:dyDescent="0.2">
      <c r="A464" s="4">
        <v>50</v>
      </c>
      <c r="B464" s="4">
        <v>0</v>
      </c>
      <c r="C464" s="4">
        <v>0</v>
      </c>
      <c r="D464" s="4">
        <v>1</v>
      </c>
      <c r="E464" s="4">
        <v>206</v>
      </c>
      <c r="F464" s="4">
        <f>ROUND(Source!T443,O464)</f>
        <v>0</v>
      </c>
      <c r="G464" s="4" t="s">
        <v>136</v>
      </c>
      <c r="H464" s="4" t="s">
        <v>137</v>
      </c>
      <c r="I464" s="4"/>
      <c r="J464" s="4"/>
      <c r="K464" s="4">
        <v>206</v>
      </c>
      <c r="L464" s="4">
        <v>20</v>
      </c>
      <c r="M464" s="4">
        <v>3</v>
      </c>
      <c r="N464" s="4" t="s">
        <v>3</v>
      </c>
      <c r="O464" s="4">
        <v>2</v>
      </c>
      <c r="P464" s="4"/>
      <c r="Q464" s="4"/>
      <c r="R464" s="4"/>
      <c r="S464" s="4"/>
      <c r="T464" s="4"/>
      <c r="U464" s="4"/>
      <c r="V464" s="4"/>
      <c r="W464" s="4">
        <v>0</v>
      </c>
      <c r="X464" s="4">
        <v>1</v>
      </c>
      <c r="Y464" s="4">
        <v>0</v>
      </c>
      <c r="Z464" s="4"/>
      <c r="AA464" s="4"/>
      <c r="AB464" s="4"/>
    </row>
    <row r="465" spans="1:206" x14ac:dyDescent="0.2">
      <c r="A465" s="4">
        <v>50</v>
      </c>
      <c r="B465" s="4">
        <v>0</v>
      </c>
      <c r="C465" s="4">
        <v>0</v>
      </c>
      <c r="D465" s="4">
        <v>1</v>
      </c>
      <c r="E465" s="4">
        <v>207</v>
      </c>
      <c r="F465" s="4">
        <f>Source!U443</f>
        <v>736.09200000000021</v>
      </c>
      <c r="G465" s="4" t="s">
        <v>138</v>
      </c>
      <c r="H465" s="4" t="s">
        <v>139</v>
      </c>
      <c r="I465" s="4"/>
      <c r="J465" s="4"/>
      <c r="K465" s="4">
        <v>207</v>
      </c>
      <c r="L465" s="4">
        <v>21</v>
      </c>
      <c r="M465" s="4">
        <v>3</v>
      </c>
      <c r="N465" s="4" t="s">
        <v>3</v>
      </c>
      <c r="O465" s="4">
        <v>-1</v>
      </c>
      <c r="P465" s="4"/>
      <c r="Q465" s="4"/>
      <c r="R465" s="4"/>
      <c r="S465" s="4"/>
      <c r="T465" s="4"/>
      <c r="U465" s="4"/>
      <c r="V465" s="4"/>
      <c r="W465" s="4">
        <v>24.27</v>
      </c>
      <c r="X465" s="4">
        <v>1</v>
      </c>
      <c r="Y465" s="4">
        <v>24.27</v>
      </c>
      <c r="Z465" s="4"/>
      <c r="AA465" s="4"/>
      <c r="AB465" s="4"/>
    </row>
    <row r="466" spans="1:206" x14ac:dyDescent="0.2">
      <c r="A466" s="4">
        <v>50</v>
      </c>
      <c r="B466" s="4">
        <v>0</v>
      </c>
      <c r="C466" s="4">
        <v>0</v>
      </c>
      <c r="D466" s="4">
        <v>1</v>
      </c>
      <c r="E466" s="4">
        <v>208</v>
      </c>
      <c r="F466" s="4">
        <f>Source!V443</f>
        <v>0</v>
      </c>
      <c r="G466" s="4" t="s">
        <v>140</v>
      </c>
      <c r="H466" s="4" t="s">
        <v>141</v>
      </c>
      <c r="I466" s="4"/>
      <c r="J466" s="4"/>
      <c r="K466" s="4">
        <v>208</v>
      </c>
      <c r="L466" s="4">
        <v>22</v>
      </c>
      <c r="M466" s="4">
        <v>3</v>
      </c>
      <c r="N466" s="4" t="s">
        <v>3</v>
      </c>
      <c r="O466" s="4">
        <v>-1</v>
      </c>
      <c r="P466" s="4"/>
      <c r="Q466" s="4"/>
      <c r="R466" s="4"/>
      <c r="S466" s="4"/>
      <c r="T466" s="4"/>
      <c r="U466" s="4"/>
      <c r="V466" s="4"/>
      <c r="W466" s="4">
        <v>0</v>
      </c>
      <c r="X466" s="4">
        <v>1</v>
      </c>
      <c r="Y466" s="4">
        <v>0</v>
      </c>
      <c r="Z466" s="4"/>
      <c r="AA466" s="4"/>
      <c r="AB466" s="4"/>
    </row>
    <row r="467" spans="1:206" x14ac:dyDescent="0.2">
      <c r="A467" s="4">
        <v>50</v>
      </c>
      <c r="B467" s="4">
        <v>0</v>
      </c>
      <c r="C467" s="4">
        <v>0</v>
      </c>
      <c r="D467" s="4">
        <v>1</v>
      </c>
      <c r="E467" s="4">
        <v>209</v>
      </c>
      <c r="F467" s="4">
        <f>ROUND(Source!W443,O467)</f>
        <v>0</v>
      </c>
      <c r="G467" s="4" t="s">
        <v>142</v>
      </c>
      <c r="H467" s="4" t="s">
        <v>143</v>
      </c>
      <c r="I467" s="4"/>
      <c r="J467" s="4"/>
      <c r="K467" s="4">
        <v>209</v>
      </c>
      <c r="L467" s="4">
        <v>23</v>
      </c>
      <c r="M467" s="4">
        <v>3</v>
      </c>
      <c r="N467" s="4" t="s">
        <v>3</v>
      </c>
      <c r="O467" s="4">
        <v>2</v>
      </c>
      <c r="P467" s="4"/>
      <c r="Q467" s="4"/>
      <c r="R467" s="4"/>
      <c r="S467" s="4"/>
      <c r="T467" s="4"/>
      <c r="U467" s="4"/>
      <c r="V467" s="4"/>
      <c r="W467" s="4">
        <v>0</v>
      </c>
      <c r="X467" s="4">
        <v>1</v>
      </c>
      <c r="Y467" s="4">
        <v>0</v>
      </c>
      <c r="Z467" s="4"/>
      <c r="AA467" s="4"/>
      <c r="AB467" s="4"/>
    </row>
    <row r="468" spans="1:206" x14ac:dyDescent="0.2">
      <c r="A468" s="4">
        <v>50</v>
      </c>
      <c r="B468" s="4">
        <v>0</v>
      </c>
      <c r="C468" s="4">
        <v>0</v>
      </c>
      <c r="D468" s="4">
        <v>1</v>
      </c>
      <c r="E468" s="4">
        <v>233</v>
      </c>
      <c r="F468" s="4">
        <f>ROUND(Source!BD443,O468)</f>
        <v>0</v>
      </c>
      <c r="G468" s="4" t="s">
        <v>144</v>
      </c>
      <c r="H468" s="4" t="s">
        <v>145</v>
      </c>
      <c r="I468" s="4"/>
      <c r="J468" s="4"/>
      <c r="K468" s="4">
        <v>233</v>
      </c>
      <c r="L468" s="4">
        <v>24</v>
      </c>
      <c r="M468" s="4">
        <v>3</v>
      </c>
      <c r="N468" s="4" t="s">
        <v>3</v>
      </c>
      <c r="O468" s="4">
        <v>2</v>
      </c>
      <c r="P468" s="4"/>
      <c r="Q468" s="4"/>
      <c r="R468" s="4"/>
      <c r="S468" s="4"/>
      <c r="T468" s="4"/>
      <c r="U468" s="4"/>
      <c r="V468" s="4"/>
      <c r="W468" s="4">
        <v>0</v>
      </c>
      <c r="X468" s="4">
        <v>1</v>
      </c>
      <c r="Y468" s="4">
        <v>0</v>
      </c>
      <c r="Z468" s="4"/>
      <c r="AA468" s="4"/>
      <c r="AB468" s="4"/>
    </row>
    <row r="469" spans="1:206" x14ac:dyDescent="0.2">
      <c r="A469" s="4">
        <v>50</v>
      </c>
      <c r="B469" s="4">
        <v>0</v>
      </c>
      <c r="C469" s="4">
        <v>0</v>
      </c>
      <c r="D469" s="4">
        <v>1</v>
      </c>
      <c r="E469" s="4">
        <v>210</v>
      </c>
      <c r="F469" s="4">
        <f>ROUND(Source!X443,O469)</f>
        <v>315234.07</v>
      </c>
      <c r="G469" s="4" t="s">
        <v>146</v>
      </c>
      <c r="H469" s="4" t="s">
        <v>147</v>
      </c>
      <c r="I469" s="4"/>
      <c r="J469" s="4"/>
      <c r="K469" s="4">
        <v>210</v>
      </c>
      <c r="L469" s="4">
        <v>25</v>
      </c>
      <c r="M469" s="4">
        <v>3</v>
      </c>
      <c r="N469" s="4" t="s">
        <v>3</v>
      </c>
      <c r="O469" s="4">
        <v>2</v>
      </c>
      <c r="P469" s="4"/>
      <c r="Q469" s="4"/>
      <c r="R469" s="4"/>
      <c r="S469" s="4"/>
      <c r="T469" s="4"/>
      <c r="U469" s="4"/>
      <c r="V469" s="4"/>
      <c r="W469" s="4">
        <v>9387.5499999999993</v>
      </c>
      <c r="X469" s="4">
        <v>1</v>
      </c>
      <c r="Y469" s="4">
        <v>9387.5499999999993</v>
      </c>
      <c r="Z469" s="4"/>
      <c r="AA469" s="4"/>
      <c r="AB469" s="4"/>
    </row>
    <row r="470" spans="1:206" x14ac:dyDescent="0.2">
      <c r="A470" s="4">
        <v>50</v>
      </c>
      <c r="B470" s="4">
        <v>0</v>
      </c>
      <c r="C470" s="4">
        <v>0</v>
      </c>
      <c r="D470" s="4">
        <v>1</v>
      </c>
      <c r="E470" s="4">
        <v>211</v>
      </c>
      <c r="F470" s="4">
        <f>ROUND(Source!Y443,O470)</f>
        <v>45033.440000000002</v>
      </c>
      <c r="G470" s="4" t="s">
        <v>148</v>
      </c>
      <c r="H470" s="4" t="s">
        <v>149</v>
      </c>
      <c r="I470" s="4"/>
      <c r="J470" s="4"/>
      <c r="K470" s="4">
        <v>211</v>
      </c>
      <c r="L470" s="4">
        <v>26</v>
      </c>
      <c r="M470" s="4">
        <v>3</v>
      </c>
      <c r="N470" s="4" t="s">
        <v>3</v>
      </c>
      <c r="O470" s="4">
        <v>2</v>
      </c>
      <c r="P470" s="4"/>
      <c r="Q470" s="4"/>
      <c r="R470" s="4"/>
      <c r="S470" s="4"/>
      <c r="T470" s="4"/>
      <c r="U470" s="4"/>
      <c r="V470" s="4"/>
      <c r="W470" s="4">
        <v>1341.08</v>
      </c>
      <c r="X470" s="4">
        <v>1</v>
      </c>
      <c r="Y470" s="4">
        <v>1341.08</v>
      </c>
      <c r="Z470" s="4"/>
      <c r="AA470" s="4"/>
      <c r="AB470" s="4"/>
    </row>
    <row r="471" spans="1:206" x14ac:dyDescent="0.2">
      <c r="A471" s="4">
        <v>50</v>
      </c>
      <c r="B471" s="4">
        <v>0</v>
      </c>
      <c r="C471" s="4">
        <v>0</v>
      </c>
      <c r="D471" s="4">
        <v>1</v>
      </c>
      <c r="E471" s="4">
        <v>224</v>
      </c>
      <c r="F471" s="4">
        <f>ROUND(Source!AR443,O471)</f>
        <v>821610.15</v>
      </c>
      <c r="G471" s="4" t="s">
        <v>150</v>
      </c>
      <c r="H471" s="4" t="s">
        <v>151</v>
      </c>
      <c r="I471" s="4"/>
      <c r="J471" s="4"/>
      <c r="K471" s="4">
        <v>224</v>
      </c>
      <c r="L471" s="4">
        <v>27</v>
      </c>
      <c r="M471" s="4">
        <v>3</v>
      </c>
      <c r="N471" s="4" t="s">
        <v>3</v>
      </c>
      <c r="O471" s="4">
        <v>2</v>
      </c>
      <c r="P471" s="4"/>
      <c r="Q471" s="4"/>
      <c r="R471" s="4"/>
      <c r="S471" s="4"/>
      <c r="T471" s="4"/>
      <c r="U471" s="4"/>
      <c r="V471" s="4"/>
      <c r="W471" s="4">
        <v>24234.53</v>
      </c>
      <c r="X471" s="4">
        <v>1</v>
      </c>
      <c r="Y471" s="4">
        <v>24234.53</v>
      </c>
      <c r="Z471" s="4"/>
      <c r="AA471" s="4"/>
      <c r="AB471" s="4"/>
    </row>
    <row r="473" spans="1:206" x14ac:dyDescent="0.2">
      <c r="A473" s="2">
        <v>51</v>
      </c>
      <c r="B473" s="2">
        <f>B261</f>
        <v>1</v>
      </c>
      <c r="C473" s="2">
        <f>A261</f>
        <v>4</v>
      </c>
      <c r="D473" s="2">
        <f>ROW(A261)</f>
        <v>261</v>
      </c>
      <c r="E473" s="2"/>
      <c r="F473" s="2" t="str">
        <f>IF(F261&lt;&gt;"",F261,"")</f>
        <v>Новый раздел</v>
      </c>
      <c r="G473" s="2" t="str">
        <f>IF(G261&lt;&gt;"",G261,"")</f>
        <v>Дом односекционный  (15 шт.) по адресу: г. Москва, городское поселение Краснопахорское, квартал 107</v>
      </c>
      <c r="H473" s="2">
        <v>0</v>
      </c>
      <c r="I473" s="2"/>
      <c r="J473" s="2"/>
      <c r="K473" s="2"/>
      <c r="L473" s="2"/>
      <c r="M473" s="2"/>
      <c r="N473" s="2"/>
      <c r="O473" s="2">
        <f t="shared" ref="O473:T473" si="455">ROUND(O292+O330+O374+O443+AB473,2)</f>
        <v>639884.41</v>
      </c>
      <c r="P473" s="2">
        <f t="shared" si="455"/>
        <v>5179.96</v>
      </c>
      <c r="Q473" s="2">
        <f t="shared" si="455"/>
        <v>30966.400000000001</v>
      </c>
      <c r="R473" s="2">
        <f t="shared" si="455"/>
        <v>19569.599999999999</v>
      </c>
      <c r="S473" s="2">
        <f t="shared" si="455"/>
        <v>603738.05000000005</v>
      </c>
      <c r="T473" s="2">
        <f t="shared" si="455"/>
        <v>0</v>
      </c>
      <c r="U473" s="2">
        <f>U292+U330+U374+U443+AH473</f>
        <v>992.52150000000017</v>
      </c>
      <c r="V473" s="2">
        <f>V292+V330+V374+V443+AI473</f>
        <v>0</v>
      </c>
      <c r="W473" s="2">
        <f>ROUND(W292+W330+W374+W443+AJ473,2)</f>
        <v>0</v>
      </c>
      <c r="X473" s="2">
        <f>ROUND(X292+X330+X374+X443+AK473,2)</f>
        <v>422616.66</v>
      </c>
      <c r="Y473" s="2">
        <f>ROUND(Y292+Y330+Y374+Y443+AL473,2)</f>
        <v>60373.82</v>
      </c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>
        <f t="shared" ref="AO473:BD473" si="456">ROUND(AO292+AO330+AO374+AO443+BX473,2)</f>
        <v>0</v>
      </c>
      <c r="AP473" s="2">
        <f t="shared" si="456"/>
        <v>0</v>
      </c>
      <c r="AQ473" s="2">
        <f t="shared" si="456"/>
        <v>0</v>
      </c>
      <c r="AR473" s="2">
        <f t="shared" si="456"/>
        <v>1144010.04</v>
      </c>
      <c r="AS473" s="2">
        <f t="shared" si="456"/>
        <v>0</v>
      </c>
      <c r="AT473" s="2">
        <f t="shared" si="456"/>
        <v>0</v>
      </c>
      <c r="AU473" s="2">
        <f t="shared" si="456"/>
        <v>1144010.04</v>
      </c>
      <c r="AV473" s="2">
        <f t="shared" si="456"/>
        <v>5179.96</v>
      </c>
      <c r="AW473" s="2">
        <f t="shared" si="456"/>
        <v>5179.96</v>
      </c>
      <c r="AX473" s="2">
        <f t="shared" si="456"/>
        <v>0</v>
      </c>
      <c r="AY473" s="2">
        <f t="shared" si="456"/>
        <v>5179.96</v>
      </c>
      <c r="AZ473" s="2">
        <f t="shared" si="456"/>
        <v>0</v>
      </c>
      <c r="BA473" s="2">
        <f t="shared" si="456"/>
        <v>0</v>
      </c>
      <c r="BB473" s="2">
        <f t="shared" si="456"/>
        <v>0</v>
      </c>
      <c r="BC473" s="2">
        <f t="shared" si="456"/>
        <v>0</v>
      </c>
      <c r="BD473" s="2">
        <f t="shared" si="456"/>
        <v>0</v>
      </c>
      <c r="BE473" s="2"/>
      <c r="BF473" s="2"/>
      <c r="BG473" s="2"/>
      <c r="BH473" s="2"/>
      <c r="BI473" s="2"/>
      <c r="BJ473" s="2"/>
      <c r="BK473" s="2"/>
      <c r="BL473" s="2"/>
      <c r="BM473" s="2"/>
      <c r="BN473" s="2"/>
      <c r="BO473" s="2"/>
      <c r="BP473" s="2"/>
      <c r="BQ473" s="2"/>
      <c r="BR473" s="2"/>
      <c r="BS473" s="2"/>
      <c r="BT473" s="2"/>
      <c r="BU473" s="2"/>
      <c r="BV473" s="2"/>
      <c r="BW473" s="2"/>
      <c r="BX473" s="2"/>
      <c r="BY473" s="2"/>
      <c r="BZ473" s="2"/>
      <c r="CA473" s="2"/>
      <c r="CB473" s="2"/>
      <c r="CC473" s="2"/>
      <c r="CD473" s="2"/>
      <c r="CE473" s="2"/>
      <c r="CF473" s="2"/>
      <c r="CG473" s="2"/>
      <c r="CH473" s="2"/>
      <c r="CI473" s="2"/>
      <c r="CJ473" s="2"/>
      <c r="CK473" s="2"/>
      <c r="CL473" s="2"/>
      <c r="CM473" s="2"/>
      <c r="CN473" s="2"/>
      <c r="CO473" s="2"/>
      <c r="CP473" s="2"/>
      <c r="CQ473" s="2"/>
      <c r="CR473" s="2"/>
      <c r="CS473" s="2"/>
      <c r="CT473" s="2"/>
      <c r="CU473" s="2"/>
      <c r="CV473" s="2"/>
      <c r="CW473" s="2"/>
      <c r="CX473" s="2"/>
      <c r="CY473" s="2"/>
      <c r="CZ473" s="2"/>
      <c r="DA473" s="2"/>
      <c r="DB473" s="2"/>
      <c r="DC473" s="2"/>
      <c r="DD473" s="2"/>
      <c r="DE473" s="2"/>
      <c r="DF473" s="2"/>
      <c r="DG473" s="3"/>
      <c r="DH473" s="3"/>
      <c r="DI473" s="3"/>
      <c r="DJ473" s="3"/>
      <c r="DK473" s="3"/>
      <c r="DL473" s="3"/>
      <c r="DM473" s="3"/>
      <c r="DN473" s="3"/>
      <c r="DO473" s="3"/>
      <c r="DP473" s="3"/>
      <c r="DQ473" s="3"/>
      <c r="DR473" s="3"/>
      <c r="DS473" s="3"/>
      <c r="DT473" s="3"/>
      <c r="DU473" s="3"/>
      <c r="DV473" s="3"/>
      <c r="DW473" s="3"/>
      <c r="DX473" s="3"/>
      <c r="DY473" s="3"/>
      <c r="DZ473" s="3"/>
      <c r="EA473" s="3"/>
      <c r="EB473" s="3"/>
      <c r="EC473" s="3"/>
      <c r="ED473" s="3"/>
      <c r="EE473" s="3"/>
      <c r="EF473" s="3"/>
      <c r="EG473" s="3"/>
      <c r="EH473" s="3"/>
      <c r="EI473" s="3"/>
      <c r="EJ473" s="3"/>
      <c r="EK473" s="3"/>
      <c r="EL473" s="3"/>
      <c r="EM473" s="3"/>
      <c r="EN473" s="3"/>
      <c r="EO473" s="3"/>
      <c r="EP473" s="3"/>
      <c r="EQ473" s="3"/>
      <c r="ER473" s="3"/>
      <c r="ES473" s="3"/>
      <c r="ET473" s="3"/>
      <c r="EU473" s="3"/>
      <c r="EV473" s="3"/>
      <c r="EW473" s="3"/>
      <c r="EX473" s="3"/>
      <c r="EY473" s="3"/>
      <c r="EZ473" s="3"/>
      <c r="FA473" s="3"/>
      <c r="FB473" s="3"/>
      <c r="FC473" s="3"/>
      <c r="FD473" s="3"/>
      <c r="FE473" s="3"/>
      <c r="FF473" s="3"/>
      <c r="FG473" s="3"/>
      <c r="FH473" s="3"/>
      <c r="FI473" s="3"/>
      <c r="FJ473" s="3"/>
      <c r="FK473" s="3"/>
      <c r="FL473" s="3"/>
      <c r="FM473" s="3"/>
      <c r="FN473" s="3"/>
      <c r="FO473" s="3"/>
      <c r="FP473" s="3"/>
      <c r="FQ473" s="3"/>
      <c r="FR473" s="3"/>
      <c r="FS473" s="3"/>
      <c r="FT473" s="3"/>
      <c r="FU473" s="3"/>
      <c r="FV473" s="3"/>
      <c r="FW473" s="3"/>
      <c r="FX473" s="3"/>
      <c r="FY473" s="3"/>
      <c r="FZ473" s="3"/>
      <c r="GA473" s="3"/>
      <c r="GB473" s="3"/>
      <c r="GC473" s="3"/>
      <c r="GD473" s="3"/>
      <c r="GE473" s="3"/>
      <c r="GF473" s="3"/>
      <c r="GG473" s="3"/>
      <c r="GH473" s="3"/>
      <c r="GI473" s="3"/>
      <c r="GJ473" s="3"/>
      <c r="GK473" s="3"/>
      <c r="GL473" s="3"/>
      <c r="GM473" s="3"/>
      <c r="GN473" s="3"/>
      <c r="GO473" s="3"/>
      <c r="GP473" s="3"/>
      <c r="GQ473" s="3"/>
      <c r="GR473" s="3"/>
      <c r="GS473" s="3"/>
      <c r="GT473" s="3"/>
      <c r="GU473" s="3"/>
      <c r="GV473" s="3"/>
      <c r="GW473" s="3"/>
      <c r="GX473" s="3">
        <v>0</v>
      </c>
    </row>
    <row r="475" spans="1:206" x14ac:dyDescent="0.2">
      <c r="A475" s="4">
        <v>50</v>
      </c>
      <c r="B475" s="4">
        <v>0</v>
      </c>
      <c r="C475" s="4">
        <v>0</v>
      </c>
      <c r="D475" s="4">
        <v>1</v>
      </c>
      <c r="E475" s="4">
        <v>201</v>
      </c>
      <c r="F475" s="4">
        <f>ROUND(Source!O473,O475)</f>
        <v>639884.41</v>
      </c>
      <c r="G475" s="4" t="s">
        <v>98</v>
      </c>
      <c r="H475" s="4" t="s">
        <v>99</v>
      </c>
      <c r="I475" s="4"/>
      <c r="J475" s="4"/>
      <c r="K475" s="4">
        <v>201</v>
      </c>
      <c r="L475" s="4">
        <v>1</v>
      </c>
      <c r="M475" s="4">
        <v>3</v>
      </c>
      <c r="N475" s="4" t="s">
        <v>3</v>
      </c>
      <c r="O475" s="4">
        <v>2</v>
      </c>
      <c r="P475" s="4"/>
      <c r="Q475" s="4"/>
      <c r="R475" s="4"/>
      <c r="S475" s="4"/>
      <c r="T475" s="4"/>
      <c r="U475" s="4"/>
      <c r="V475" s="4"/>
      <c r="W475" s="4">
        <v>604797.31999999995</v>
      </c>
      <c r="X475" s="4">
        <v>1</v>
      </c>
      <c r="Y475" s="4">
        <v>604797.31999999995</v>
      </c>
      <c r="Z475" s="4"/>
      <c r="AA475" s="4"/>
      <c r="AB475" s="4"/>
    </row>
    <row r="476" spans="1:206" x14ac:dyDescent="0.2">
      <c r="A476" s="4">
        <v>50</v>
      </c>
      <c r="B476" s="4">
        <v>0</v>
      </c>
      <c r="C476" s="4">
        <v>0</v>
      </c>
      <c r="D476" s="4">
        <v>1</v>
      </c>
      <c r="E476" s="4">
        <v>202</v>
      </c>
      <c r="F476" s="4">
        <f>ROUND(Source!P473,O476)</f>
        <v>5179.96</v>
      </c>
      <c r="G476" s="4" t="s">
        <v>100</v>
      </c>
      <c r="H476" s="4" t="s">
        <v>101</v>
      </c>
      <c r="I476" s="4"/>
      <c r="J476" s="4"/>
      <c r="K476" s="4">
        <v>202</v>
      </c>
      <c r="L476" s="4">
        <v>2</v>
      </c>
      <c r="M476" s="4">
        <v>3</v>
      </c>
      <c r="N476" s="4" t="s">
        <v>3</v>
      </c>
      <c r="O476" s="4">
        <v>2</v>
      </c>
      <c r="P476" s="4"/>
      <c r="Q476" s="4"/>
      <c r="R476" s="4"/>
      <c r="S476" s="4"/>
      <c r="T476" s="4"/>
      <c r="U476" s="4"/>
      <c r="V476" s="4"/>
      <c r="W476" s="4">
        <v>4800.8599999999997</v>
      </c>
      <c r="X476" s="4">
        <v>1</v>
      </c>
      <c r="Y476" s="4">
        <v>4800.8599999999997</v>
      </c>
      <c r="Z476" s="4"/>
      <c r="AA476" s="4"/>
      <c r="AB476" s="4"/>
    </row>
    <row r="477" spans="1:206" x14ac:dyDescent="0.2">
      <c r="A477" s="4">
        <v>50</v>
      </c>
      <c r="B477" s="4">
        <v>0</v>
      </c>
      <c r="C477" s="4">
        <v>0</v>
      </c>
      <c r="D477" s="4">
        <v>1</v>
      </c>
      <c r="E477" s="4">
        <v>222</v>
      </c>
      <c r="F477" s="4">
        <f>ROUND(Source!AO473,O477)</f>
        <v>0</v>
      </c>
      <c r="G477" s="4" t="s">
        <v>102</v>
      </c>
      <c r="H477" s="4" t="s">
        <v>103</v>
      </c>
      <c r="I477" s="4"/>
      <c r="J477" s="4"/>
      <c r="K477" s="4">
        <v>222</v>
      </c>
      <c r="L477" s="4">
        <v>3</v>
      </c>
      <c r="M477" s="4">
        <v>3</v>
      </c>
      <c r="N477" s="4" t="s">
        <v>3</v>
      </c>
      <c r="O477" s="4">
        <v>2</v>
      </c>
      <c r="P477" s="4"/>
      <c r="Q477" s="4"/>
      <c r="R477" s="4"/>
      <c r="S477" s="4"/>
      <c r="T477" s="4"/>
      <c r="U477" s="4"/>
      <c r="V477" s="4"/>
      <c r="W477" s="4">
        <v>0</v>
      </c>
      <c r="X477" s="4">
        <v>1</v>
      </c>
      <c r="Y477" s="4">
        <v>0</v>
      </c>
      <c r="Z477" s="4"/>
      <c r="AA477" s="4"/>
      <c r="AB477" s="4"/>
    </row>
    <row r="478" spans="1:206" x14ac:dyDescent="0.2">
      <c r="A478" s="4">
        <v>50</v>
      </c>
      <c r="B478" s="4">
        <v>0</v>
      </c>
      <c r="C478" s="4">
        <v>0</v>
      </c>
      <c r="D478" s="4">
        <v>1</v>
      </c>
      <c r="E478" s="4">
        <v>225</v>
      </c>
      <c r="F478" s="4">
        <f>ROUND(Source!AV473,O478)</f>
        <v>5179.96</v>
      </c>
      <c r="G478" s="4" t="s">
        <v>104</v>
      </c>
      <c r="H478" s="4" t="s">
        <v>105</v>
      </c>
      <c r="I478" s="4"/>
      <c r="J478" s="4"/>
      <c r="K478" s="4">
        <v>225</v>
      </c>
      <c r="L478" s="4">
        <v>4</v>
      </c>
      <c r="M478" s="4">
        <v>3</v>
      </c>
      <c r="N478" s="4" t="s">
        <v>3</v>
      </c>
      <c r="O478" s="4">
        <v>2</v>
      </c>
      <c r="P478" s="4"/>
      <c r="Q478" s="4"/>
      <c r="R478" s="4"/>
      <c r="S478" s="4"/>
      <c r="T478" s="4"/>
      <c r="U478" s="4"/>
      <c r="V478" s="4"/>
      <c r="W478" s="4">
        <v>4800.8599999999997</v>
      </c>
      <c r="X478" s="4">
        <v>1</v>
      </c>
      <c r="Y478" s="4">
        <v>4800.8599999999997</v>
      </c>
      <c r="Z478" s="4"/>
      <c r="AA478" s="4"/>
      <c r="AB478" s="4"/>
    </row>
    <row r="479" spans="1:206" x14ac:dyDescent="0.2">
      <c r="A479" s="4">
        <v>50</v>
      </c>
      <c r="B479" s="4">
        <v>0</v>
      </c>
      <c r="C479" s="4">
        <v>0</v>
      </c>
      <c r="D479" s="4">
        <v>1</v>
      </c>
      <c r="E479" s="4">
        <v>226</v>
      </c>
      <c r="F479" s="4">
        <f>ROUND(Source!AW473,O479)</f>
        <v>5179.96</v>
      </c>
      <c r="G479" s="4" t="s">
        <v>106</v>
      </c>
      <c r="H479" s="4" t="s">
        <v>107</v>
      </c>
      <c r="I479" s="4"/>
      <c r="J479" s="4"/>
      <c r="K479" s="4">
        <v>226</v>
      </c>
      <c r="L479" s="4">
        <v>5</v>
      </c>
      <c r="M479" s="4">
        <v>3</v>
      </c>
      <c r="N479" s="4" t="s">
        <v>3</v>
      </c>
      <c r="O479" s="4">
        <v>2</v>
      </c>
      <c r="P479" s="4"/>
      <c r="Q479" s="4"/>
      <c r="R479" s="4"/>
      <c r="S479" s="4"/>
      <c r="T479" s="4"/>
      <c r="U479" s="4"/>
      <c r="V479" s="4"/>
      <c r="W479" s="4">
        <v>4800.8599999999997</v>
      </c>
      <c r="X479" s="4">
        <v>1</v>
      </c>
      <c r="Y479" s="4">
        <v>4800.8599999999997</v>
      </c>
      <c r="Z479" s="4"/>
      <c r="AA479" s="4"/>
      <c r="AB479" s="4"/>
    </row>
    <row r="480" spans="1:206" x14ac:dyDescent="0.2">
      <c r="A480" s="4">
        <v>50</v>
      </c>
      <c r="B480" s="4">
        <v>0</v>
      </c>
      <c r="C480" s="4">
        <v>0</v>
      </c>
      <c r="D480" s="4">
        <v>1</v>
      </c>
      <c r="E480" s="4">
        <v>227</v>
      </c>
      <c r="F480" s="4">
        <f>ROUND(Source!AX473,O480)</f>
        <v>0</v>
      </c>
      <c r="G480" s="4" t="s">
        <v>108</v>
      </c>
      <c r="H480" s="4" t="s">
        <v>109</v>
      </c>
      <c r="I480" s="4"/>
      <c r="J480" s="4"/>
      <c r="K480" s="4">
        <v>227</v>
      </c>
      <c r="L480" s="4">
        <v>6</v>
      </c>
      <c r="M480" s="4">
        <v>3</v>
      </c>
      <c r="N480" s="4" t="s">
        <v>3</v>
      </c>
      <c r="O480" s="4">
        <v>2</v>
      </c>
      <c r="P480" s="4"/>
      <c r="Q480" s="4"/>
      <c r="R480" s="4"/>
      <c r="S480" s="4"/>
      <c r="T480" s="4"/>
      <c r="U480" s="4"/>
      <c r="V480" s="4"/>
      <c r="W480" s="4">
        <v>0</v>
      </c>
      <c r="X480" s="4">
        <v>1</v>
      </c>
      <c r="Y480" s="4">
        <v>0</v>
      </c>
      <c r="Z480" s="4"/>
      <c r="AA480" s="4"/>
      <c r="AB480" s="4"/>
    </row>
    <row r="481" spans="1:28" x14ac:dyDescent="0.2">
      <c r="A481" s="4">
        <v>50</v>
      </c>
      <c r="B481" s="4">
        <v>0</v>
      </c>
      <c r="C481" s="4">
        <v>0</v>
      </c>
      <c r="D481" s="4">
        <v>1</v>
      </c>
      <c r="E481" s="4">
        <v>228</v>
      </c>
      <c r="F481" s="4">
        <f>ROUND(Source!AY473,O481)</f>
        <v>5179.96</v>
      </c>
      <c r="G481" s="4" t="s">
        <v>110</v>
      </c>
      <c r="H481" s="4" t="s">
        <v>111</v>
      </c>
      <c r="I481" s="4"/>
      <c r="J481" s="4"/>
      <c r="K481" s="4">
        <v>228</v>
      </c>
      <c r="L481" s="4">
        <v>7</v>
      </c>
      <c r="M481" s="4">
        <v>3</v>
      </c>
      <c r="N481" s="4" t="s">
        <v>3</v>
      </c>
      <c r="O481" s="4">
        <v>2</v>
      </c>
      <c r="P481" s="4"/>
      <c r="Q481" s="4"/>
      <c r="R481" s="4"/>
      <c r="S481" s="4"/>
      <c r="T481" s="4"/>
      <c r="U481" s="4"/>
      <c r="V481" s="4"/>
      <c r="W481" s="4">
        <v>4800.8599999999997</v>
      </c>
      <c r="X481" s="4">
        <v>1</v>
      </c>
      <c r="Y481" s="4">
        <v>4800.8599999999997</v>
      </c>
      <c r="Z481" s="4"/>
      <c r="AA481" s="4"/>
      <c r="AB481" s="4"/>
    </row>
    <row r="482" spans="1:28" x14ac:dyDescent="0.2">
      <c r="A482" s="4">
        <v>50</v>
      </c>
      <c r="B482" s="4">
        <v>0</v>
      </c>
      <c r="C482" s="4">
        <v>0</v>
      </c>
      <c r="D482" s="4">
        <v>1</v>
      </c>
      <c r="E482" s="4">
        <v>216</v>
      </c>
      <c r="F482" s="4">
        <f>ROUND(Source!AP473,O482)</f>
        <v>0</v>
      </c>
      <c r="G482" s="4" t="s">
        <v>112</v>
      </c>
      <c r="H482" s="4" t="s">
        <v>113</v>
      </c>
      <c r="I482" s="4"/>
      <c r="J482" s="4"/>
      <c r="K482" s="4">
        <v>216</v>
      </c>
      <c r="L482" s="4">
        <v>8</v>
      </c>
      <c r="M482" s="4">
        <v>3</v>
      </c>
      <c r="N482" s="4" t="s">
        <v>3</v>
      </c>
      <c r="O482" s="4">
        <v>2</v>
      </c>
      <c r="P482" s="4"/>
      <c r="Q482" s="4"/>
      <c r="R482" s="4"/>
      <c r="S482" s="4"/>
      <c r="T482" s="4"/>
      <c r="U482" s="4"/>
      <c r="V482" s="4"/>
      <c r="W482" s="4">
        <v>0</v>
      </c>
      <c r="X482" s="4">
        <v>1</v>
      </c>
      <c r="Y482" s="4">
        <v>0</v>
      </c>
      <c r="Z482" s="4"/>
      <c r="AA482" s="4"/>
      <c r="AB482" s="4"/>
    </row>
    <row r="483" spans="1:28" x14ac:dyDescent="0.2">
      <c r="A483" s="4">
        <v>50</v>
      </c>
      <c r="B483" s="4">
        <v>0</v>
      </c>
      <c r="C483" s="4">
        <v>0</v>
      </c>
      <c r="D483" s="4">
        <v>1</v>
      </c>
      <c r="E483" s="4">
        <v>223</v>
      </c>
      <c r="F483" s="4">
        <f>ROUND(Source!AQ473,O483)</f>
        <v>0</v>
      </c>
      <c r="G483" s="4" t="s">
        <v>114</v>
      </c>
      <c r="H483" s="4" t="s">
        <v>115</v>
      </c>
      <c r="I483" s="4"/>
      <c r="J483" s="4"/>
      <c r="K483" s="4">
        <v>223</v>
      </c>
      <c r="L483" s="4">
        <v>9</v>
      </c>
      <c r="M483" s="4">
        <v>3</v>
      </c>
      <c r="N483" s="4" t="s">
        <v>3</v>
      </c>
      <c r="O483" s="4">
        <v>2</v>
      </c>
      <c r="P483" s="4"/>
      <c r="Q483" s="4"/>
      <c r="R483" s="4"/>
      <c r="S483" s="4"/>
      <c r="T483" s="4"/>
      <c r="U483" s="4"/>
      <c r="V483" s="4"/>
      <c r="W483" s="4">
        <v>0</v>
      </c>
      <c r="X483" s="4">
        <v>1</v>
      </c>
      <c r="Y483" s="4">
        <v>0</v>
      </c>
      <c r="Z483" s="4"/>
      <c r="AA483" s="4"/>
      <c r="AB483" s="4"/>
    </row>
    <row r="484" spans="1:28" x14ac:dyDescent="0.2">
      <c r="A484" s="4">
        <v>50</v>
      </c>
      <c r="B484" s="4">
        <v>0</v>
      </c>
      <c r="C484" s="4">
        <v>0</v>
      </c>
      <c r="D484" s="4">
        <v>1</v>
      </c>
      <c r="E484" s="4">
        <v>229</v>
      </c>
      <c r="F484" s="4">
        <f>ROUND(Source!AZ473,O484)</f>
        <v>0</v>
      </c>
      <c r="G484" s="4" t="s">
        <v>116</v>
      </c>
      <c r="H484" s="4" t="s">
        <v>117</v>
      </c>
      <c r="I484" s="4"/>
      <c r="J484" s="4"/>
      <c r="K484" s="4">
        <v>229</v>
      </c>
      <c r="L484" s="4">
        <v>10</v>
      </c>
      <c r="M484" s="4">
        <v>3</v>
      </c>
      <c r="N484" s="4" t="s">
        <v>3</v>
      </c>
      <c r="O484" s="4">
        <v>2</v>
      </c>
      <c r="P484" s="4"/>
      <c r="Q484" s="4"/>
      <c r="R484" s="4"/>
      <c r="S484" s="4"/>
      <c r="T484" s="4"/>
      <c r="U484" s="4"/>
      <c r="V484" s="4"/>
      <c r="W484" s="4">
        <v>0</v>
      </c>
      <c r="X484" s="4">
        <v>1</v>
      </c>
      <c r="Y484" s="4">
        <v>0</v>
      </c>
      <c r="Z484" s="4"/>
      <c r="AA484" s="4"/>
      <c r="AB484" s="4"/>
    </row>
    <row r="485" spans="1:28" x14ac:dyDescent="0.2">
      <c r="A485" s="4">
        <v>50</v>
      </c>
      <c r="B485" s="4">
        <v>0</v>
      </c>
      <c r="C485" s="4">
        <v>0</v>
      </c>
      <c r="D485" s="4">
        <v>1</v>
      </c>
      <c r="E485" s="4">
        <v>203</v>
      </c>
      <c r="F485" s="4">
        <f>ROUND(Source!Q473,O485)</f>
        <v>30966.400000000001</v>
      </c>
      <c r="G485" s="4" t="s">
        <v>118</v>
      </c>
      <c r="H485" s="4" t="s">
        <v>119</v>
      </c>
      <c r="I485" s="4"/>
      <c r="J485" s="4"/>
      <c r="K485" s="4">
        <v>203</v>
      </c>
      <c r="L485" s="4">
        <v>11</v>
      </c>
      <c r="M485" s="4">
        <v>3</v>
      </c>
      <c r="N485" s="4" t="s">
        <v>3</v>
      </c>
      <c r="O485" s="4">
        <v>2</v>
      </c>
      <c r="P485" s="4"/>
      <c r="Q485" s="4"/>
      <c r="R485" s="4"/>
      <c r="S485" s="4"/>
      <c r="T485" s="4"/>
      <c r="U485" s="4"/>
      <c r="V485" s="4"/>
      <c r="W485" s="4">
        <v>29775.16</v>
      </c>
      <c r="X485" s="4">
        <v>1</v>
      </c>
      <c r="Y485" s="4">
        <v>29775.16</v>
      </c>
      <c r="Z485" s="4"/>
      <c r="AA485" s="4"/>
      <c r="AB485" s="4"/>
    </row>
    <row r="486" spans="1:28" x14ac:dyDescent="0.2">
      <c r="A486" s="4">
        <v>50</v>
      </c>
      <c r="B486" s="4">
        <v>0</v>
      </c>
      <c r="C486" s="4">
        <v>0</v>
      </c>
      <c r="D486" s="4">
        <v>1</v>
      </c>
      <c r="E486" s="4">
        <v>231</v>
      </c>
      <c r="F486" s="4">
        <f>ROUND(Source!BB473,O486)</f>
        <v>0</v>
      </c>
      <c r="G486" s="4" t="s">
        <v>120</v>
      </c>
      <c r="H486" s="4" t="s">
        <v>121</v>
      </c>
      <c r="I486" s="4"/>
      <c r="J486" s="4"/>
      <c r="K486" s="4">
        <v>231</v>
      </c>
      <c r="L486" s="4">
        <v>12</v>
      </c>
      <c r="M486" s="4">
        <v>3</v>
      </c>
      <c r="N486" s="4" t="s">
        <v>3</v>
      </c>
      <c r="O486" s="4">
        <v>2</v>
      </c>
      <c r="P486" s="4"/>
      <c r="Q486" s="4"/>
      <c r="R486" s="4"/>
      <c r="S486" s="4"/>
      <c r="T486" s="4"/>
      <c r="U486" s="4"/>
      <c r="V486" s="4"/>
      <c r="W486" s="4">
        <v>0</v>
      </c>
      <c r="X486" s="4">
        <v>1</v>
      </c>
      <c r="Y486" s="4">
        <v>0</v>
      </c>
      <c r="Z486" s="4"/>
      <c r="AA486" s="4"/>
      <c r="AB486" s="4"/>
    </row>
    <row r="487" spans="1:28" x14ac:dyDescent="0.2">
      <c r="A487" s="4">
        <v>50</v>
      </c>
      <c r="B487" s="4">
        <v>0</v>
      </c>
      <c r="C487" s="4">
        <v>0</v>
      </c>
      <c r="D487" s="4">
        <v>1</v>
      </c>
      <c r="E487" s="4">
        <v>204</v>
      </c>
      <c r="F487" s="4">
        <f>ROUND(Source!R473,O487)</f>
        <v>19569.599999999999</v>
      </c>
      <c r="G487" s="4" t="s">
        <v>122</v>
      </c>
      <c r="H487" s="4" t="s">
        <v>123</v>
      </c>
      <c r="I487" s="4"/>
      <c r="J487" s="4"/>
      <c r="K487" s="4">
        <v>204</v>
      </c>
      <c r="L487" s="4">
        <v>13</v>
      </c>
      <c r="M487" s="4">
        <v>3</v>
      </c>
      <c r="N487" s="4" t="s">
        <v>3</v>
      </c>
      <c r="O487" s="4">
        <v>2</v>
      </c>
      <c r="P487" s="4"/>
      <c r="Q487" s="4"/>
      <c r="R487" s="4"/>
      <c r="S487" s="4"/>
      <c r="T487" s="4"/>
      <c r="U487" s="4"/>
      <c r="V487" s="4"/>
      <c r="W487" s="4">
        <v>18825.830000000002</v>
      </c>
      <c r="X487" s="4">
        <v>1</v>
      </c>
      <c r="Y487" s="4">
        <v>18825.830000000002</v>
      </c>
      <c r="Z487" s="4"/>
      <c r="AA487" s="4"/>
      <c r="AB487" s="4"/>
    </row>
    <row r="488" spans="1:28" x14ac:dyDescent="0.2">
      <c r="A488" s="4">
        <v>50</v>
      </c>
      <c r="B488" s="4">
        <v>0</v>
      </c>
      <c r="C488" s="4">
        <v>0</v>
      </c>
      <c r="D488" s="4">
        <v>1</v>
      </c>
      <c r="E488" s="4">
        <v>205</v>
      </c>
      <c r="F488" s="4">
        <f>ROUND(Source!S473,O488)</f>
        <v>603738.05000000005</v>
      </c>
      <c r="G488" s="4" t="s">
        <v>124</v>
      </c>
      <c r="H488" s="4" t="s">
        <v>125</v>
      </c>
      <c r="I488" s="4"/>
      <c r="J488" s="4"/>
      <c r="K488" s="4">
        <v>205</v>
      </c>
      <c r="L488" s="4">
        <v>14</v>
      </c>
      <c r="M488" s="4">
        <v>3</v>
      </c>
      <c r="N488" s="4" t="s">
        <v>3</v>
      </c>
      <c r="O488" s="4">
        <v>2</v>
      </c>
      <c r="P488" s="4"/>
      <c r="Q488" s="4"/>
      <c r="R488" s="4"/>
      <c r="S488" s="4"/>
      <c r="T488" s="4"/>
      <c r="U488" s="4"/>
      <c r="V488" s="4"/>
      <c r="W488" s="4">
        <v>570221.30000000005</v>
      </c>
      <c r="X488" s="4">
        <v>1</v>
      </c>
      <c r="Y488" s="4">
        <v>570221.30000000005</v>
      </c>
      <c r="Z488" s="4"/>
      <c r="AA488" s="4"/>
      <c r="AB488" s="4"/>
    </row>
    <row r="489" spans="1:28" x14ac:dyDescent="0.2">
      <c r="A489" s="4">
        <v>50</v>
      </c>
      <c r="B489" s="4">
        <v>0</v>
      </c>
      <c r="C489" s="4">
        <v>0</v>
      </c>
      <c r="D489" s="4">
        <v>1</v>
      </c>
      <c r="E489" s="4">
        <v>232</v>
      </c>
      <c r="F489" s="4">
        <f>ROUND(Source!BC473,O489)</f>
        <v>0</v>
      </c>
      <c r="G489" s="4" t="s">
        <v>126</v>
      </c>
      <c r="H489" s="4" t="s">
        <v>127</v>
      </c>
      <c r="I489" s="4"/>
      <c r="J489" s="4"/>
      <c r="K489" s="4">
        <v>232</v>
      </c>
      <c r="L489" s="4">
        <v>15</v>
      </c>
      <c r="M489" s="4">
        <v>3</v>
      </c>
      <c r="N489" s="4" t="s">
        <v>3</v>
      </c>
      <c r="O489" s="4">
        <v>2</v>
      </c>
      <c r="P489" s="4"/>
      <c r="Q489" s="4"/>
      <c r="R489" s="4"/>
      <c r="S489" s="4"/>
      <c r="T489" s="4"/>
      <c r="U489" s="4"/>
      <c r="V489" s="4"/>
      <c r="W489" s="4">
        <v>0</v>
      </c>
      <c r="X489" s="4">
        <v>1</v>
      </c>
      <c r="Y489" s="4">
        <v>0</v>
      </c>
      <c r="Z489" s="4"/>
      <c r="AA489" s="4"/>
      <c r="AB489" s="4"/>
    </row>
    <row r="490" spans="1:28" x14ac:dyDescent="0.2">
      <c r="A490" s="4">
        <v>50</v>
      </c>
      <c r="B490" s="4">
        <v>0</v>
      </c>
      <c r="C490" s="4">
        <v>0</v>
      </c>
      <c r="D490" s="4">
        <v>1</v>
      </c>
      <c r="E490" s="4">
        <v>214</v>
      </c>
      <c r="F490" s="4">
        <f>ROUND(Source!AS473,O490)</f>
        <v>0</v>
      </c>
      <c r="G490" s="4" t="s">
        <v>128</v>
      </c>
      <c r="H490" s="4" t="s">
        <v>129</v>
      </c>
      <c r="I490" s="4"/>
      <c r="J490" s="4"/>
      <c r="K490" s="4">
        <v>214</v>
      </c>
      <c r="L490" s="4">
        <v>16</v>
      </c>
      <c r="M490" s="4">
        <v>3</v>
      </c>
      <c r="N490" s="4" t="s">
        <v>3</v>
      </c>
      <c r="O490" s="4">
        <v>2</v>
      </c>
      <c r="P490" s="4"/>
      <c r="Q490" s="4"/>
      <c r="R490" s="4"/>
      <c r="S490" s="4"/>
      <c r="T490" s="4"/>
      <c r="U490" s="4"/>
      <c r="V490" s="4"/>
      <c r="W490" s="4">
        <v>0</v>
      </c>
      <c r="X490" s="4">
        <v>1</v>
      </c>
      <c r="Y490" s="4">
        <v>0</v>
      </c>
      <c r="Z490" s="4"/>
      <c r="AA490" s="4"/>
      <c r="AB490" s="4"/>
    </row>
    <row r="491" spans="1:28" x14ac:dyDescent="0.2">
      <c r="A491" s="4">
        <v>50</v>
      </c>
      <c r="B491" s="4">
        <v>0</v>
      </c>
      <c r="C491" s="4">
        <v>0</v>
      </c>
      <c r="D491" s="4">
        <v>1</v>
      </c>
      <c r="E491" s="4">
        <v>215</v>
      </c>
      <c r="F491" s="4">
        <f>ROUND(Source!AT473,O491)</f>
        <v>0</v>
      </c>
      <c r="G491" s="4" t="s">
        <v>130</v>
      </c>
      <c r="H491" s="4" t="s">
        <v>131</v>
      </c>
      <c r="I491" s="4"/>
      <c r="J491" s="4"/>
      <c r="K491" s="4">
        <v>215</v>
      </c>
      <c r="L491" s="4">
        <v>17</v>
      </c>
      <c r="M491" s="4">
        <v>3</v>
      </c>
      <c r="N491" s="4" t="s">
        <v>3</v>
      </c>
      <c r="O491" s="4">
        <v>2</v>
      </c>
      <c r="P491" s="4"/>
      <c r="Q491" s="4"/>
      <c r="R491" s="4"/>
      <c r="S491" s="4"/>
      <c r="T491" s="4"/>
      <c r="U491" s="4"/>
      <c r="V491" s="4"/>
      <c r="W491" s="4">
        <v>0</v>
      </c>
      <c r="X491" s="4">
        <v>1</v>
      </c>
      <c r="Y491" s="4">
        <v>0</v>
      </c>
      <c r="Z491" s="4"/>
      <c r="AA491" s="4"/>
      <c r="AB491" s="4"/>
    </row>
    <row r="492" spans="1:28" x14ac:dyDescent="0.2">
      <c r="A492" s="4">
        <v>50</v>
      </c>
      <c r="B492" s="4">
        <v>0</v>
      </c>
      <c r="C492" s="4">
        <v>0</v>
      </c>
      <c r="D492" s="4">
        <v>1</v>
      </c>
      <c r="E492" s="4">
        <v>217</v>
      </c>
      <c r="F492" s="4">
        <f>ROUND(Source!AU473,O492)</f>
        <v>1144010.04</v>
      </c>
      <c r="G492" s="4" t="s">
        <v>132</v>
      </c>
      <c r="H492" s="4" t="s">
        <v>133</v>
      </c>
      <c r="I492" s="4"/>
      <c r="J492" s="4"/>
      <c r="K492" s="4">
        <v>217</v>
      </c>
      <c r="L492" s="4">
        <v>18</v>
      </c>
      <c r="M492" s="4">
        <v>3</v>
      </c>
      <c r="N492" s="4" t="s">
        <v>3</v>
      </c>
      <c r="O492" s="4">
        <v>2</v>
      </c>
      <c r="P492" s="4"/>
      <c r="Q492" s="4"/>
      <c r="R492" s="4"/>
      <c r="S492" s="4"/>
      <c r="T492" s="4"/>
      <c r="U492" s="4"/>
      <c r="V492" s="4"/>
      <c r="W492" s="4">
        <v>1081306.28</v>
      </c>
      <c r="X492" s="4">
        <v>1</v>
      </c>
      <c r="Y492" s="4">
        <v>1081306.28</v>
      </c>
      <c r="Z492" s="4"/>
      <c r="AA492" s="4"/>
      <c r="AB492" s="4"/>
    </row>
    <row r="493" spans="1:28" x14ac:dyDescent="0.2">
      <c r="A493" s="4">
        <v>50</v>
      </c>
      <c r="B493" s="4">
        <v>0</v>
      </c>
      <c r="C493" s="4">
        <v>0</v>
      </c>
      <c r="D493" s="4">
        <v>1</v>
      </c>
      <c r="E493" s="4">
        <v>230</v>
      </c>
      <c r="F493" s="4">
        <f>ROUND(Source!BA473,O493)</f>
        <v>0</v>
      </c>
      <c r="G493" s="4" t="s">
        <v>134</v>
      </c>
      <c r="H493" s="4" t="s">
        <v>135</v>
      </c>
      <c r="I493" s="4"/>
      <c r="J493" s="4"/>
      <c r="K493" s="4">
        <v>230</v>
      </c>
      <c r="L493" s="4">
        <v>19</v>
      </c>
      <c r="M493" s="4">
        <v>3</v>
      </c>
      <c r="N493" s="4" t="s">
        <v>3</v>
      </c>
      <c r="O493" s="4">
        <v>2</v>
      </c>
      <c r="P493" s="4"/>
      <c r="Q493" s="4"/>
      <c r="R493" s="4"/>
      <c r="S493" s="4"/>
      <c r="T493" s="4"/>
      <c r="U493" s="4"/>
      <c r="V493" s="4"/>
      <c r="W493" s="4">
        <v>0</v>
      </c>
      <c r="X493" s="4">
        <v>1</v>
      </c>
      <c r="Y493" s="4">
        <v>0</v>
      </c>
      <c r="Z493" s="4"/>
      <c r="AA493" s="4"/>
      <c r="AB493" s="4"/>
    </row>
    <row r="494" spans="1:28" x14ac:dyDescent="0.2">
      <c r="A494" s="4">
        <v>50</v>
      </c>
      <c r="B494" s="4">
        <v>0</v>
      </c>
      <c r="C494" s="4">
        <v>0</v>
      </c>
      <c r="D494" s="4">
        <v>1</v>
      </c>
      <c r="E494" s="4">
        <v>206</v>
      </c>
      <c r="F494" s="4">
        <f>ROUND(Source!T473,O494)</f>
        <v>0</v>
      </c>
      <c r="G494" s="4" t="s">
        <v>136</v>
      </c>
      <c r="H494" s="4" t="s">
        <v>137</v>
      </c>
      <c r="I494" s="4"/>
      <c r="J494" s="4"/>
      <c r="K494" s="4">
        <v>206</v>
      </c>
      <c r="L494" s="4">
        <v>20</v>
      </c>
      <c r="M494" s="4">
        <v>3</v>
      </c>
      <c r="N494" s="4" t="s">
        <v>3</v>
      </c>
      <c r="O494" s="4">
        <v>2</v>
      </c>
      <c r="P494" s="4"/>
      <c r="Q494" s="4"/>
      <c r="R494" s="4"/>
      <c r="S494" s="4"/>
      <c r="T494" s="4"/>
      <c r="U494" s="4"/>
      <c r="V494" s="4"/>
      <c r="W494" s="4">
        <v>0</v>
      </c>
      <c r="X494" s="4">
        <v>1</v>
      </c>
      <c r="Y494" s="4">
        <v>0</v>
      </c>
      <c r="Z494" s="4"/>
      <c r="AA494" s="4"/>
      <c r="AB494" s="4"/>
    </row>
    <row r="495" spans="1:28" x14ac:dyDescent="0.2">
      <c r="A495" s="4">
        <v>50</v>
      </c>
      <c r="B495" s="4">
        <v>0</v>
      </c>
      <c r="C495" s="4">
        <v>0</v>
      </c>
      <c r="D495" s="4">
        <v>1</v>
      </c>
      <c r="E495" s="4">
        <v>207</v>
      </c>
      <c r="F495" s="4">
        <f>Source!U473</f>
        <v>992.52150000000017</v>
      </c>
      <c r="G495" s="4" t="s">
        <v>138</v>
      </c>
      <c r="H495" s="4" t="s">
        <v>139</v>
      </c>
      <c r="I495" s="4"/>
      <c r="J495" s="4"/>
      <c r="K495" s="4">
        <v>207</v>
      </c>
      <c r="L495" s="4">
        <v>21</v>
      </c>
      <c r="M495" s="4">
        <v>3</v>
      </c>
      <c r="N495" s="4" t="s">
        <v>3</v>
      </c>
      <c r="O495" s="4">
        <v>-1</v>
      </c>
      <c r="P495" s="4"/>
      <c r="Q495" s="4"/>
      <c r="R495" s="4"/>
      <c r="S495" s="4"/>
      <c r="T495" s="4"/>
      <c r="U495" s="4"/>
      <c r="V495" s="4"/>
      <c r="W495" s="4">
        <v>927.69900000000018</v>
      </c>
      <c r="X495" s="4">
        <v>1</v>
      </c>
      <c r="Y495" s="4">
        <v>927.69900000000018</v>
      </c>
      <c r="Z495" s="4"/>
      <c r="AA495" s="4"/>
      <c r="AB495" s="4"/>
    </row>
    <row r="496" spans="1:28" x14ac:dyDescent="0.2">
      <c r="A496" s="4">
        <v>50</v>
      </c>
      <c r="B496" s="4">
        <v>0</v>
      </c>
      <c r="C496" s="4">
        <v>0</v>
      </c>
      <c r="D496" s="4">
        <v>1</v>
      </c>
      <c r="E496" s="4">
        <v>208</v>
      </c>
      <c r="F496" s="4">
        <f>Source!V473</f>
        <v>0</v>
      </c>
      <c r="G496" s="4" t="s">
        <v>140</v>
      </c>
      <c r="H496" s="4" t="s">
        <v>141</v>
      </c>
      <c r="I496" s="4"/>
      <c r="J496" s="4"/>
      <c r="K496" s="4">
        <v>208</v>
      </c>
      <c r="L496" s="4">
        <v>22</v>
      </c>
      <c r="M496" s="4">
        <v>3</v>
      </c>
      <c r="N496" s="4" t="s">
        <v>3</v>
      </c>
      <c r="O496" s="4">
        <v>-1</v>
      </c>
      <c r="P496" s="4"/>
      <c r="Q496" s="4"/>
      <c r="R496" s="4"/>
      <c r="S496" s="4"/>
      <c r="T496" s="4"/>
      <c r="U496" s="4"/>
      <c r="V496" s="4"/>
      <c r="W496" s="4">
        <v>0</v>
      </c>
      <c r="X496" s="4">
        <v>1</v>
      </c>
      <c r="Y496" s="4">
        <v>0</v>
      </c>
      <c r="Z496" s="4"/>
      <c r="AA496" s="4"/>
      <c r="AB496" s="4"/>
    </row>
    <row r="497" spans="1:245" x14ac:dyDescent="0.2">
      <c r="A497" s="4">
        <v>50</v>
      </c>
      <c r="B497" s="4">
        <v>0</v>
      </c>
      <c r="C497" s="4">
        <v>0</v>
      </c>
      <c r="D497" s="4">
        <v>1</v>
      </c>
      <c r="E497" s="4">
        <v>209</v>
      </c>
      <c r="F497" s="4">
        <f>ROUND(Source!W473,O497)</f>
        <v>0</v>
      </c>
      <c r="G497" s="4" t="s">
        <v>142</v>
      </c>
      <c r="H497" s="4" t="s">
        <v>143</v>
      </c>
      <c r="I497" s="4"/>
      <c r="J497" s="4"/>
      <c r="K497" s="4">
        <v>209</v>
      </c>
      <c r="L497" s="4">
        <v>23</v>
      </c>
      <c r="M497" s="4">
        <v>3</v>
      </c>
      <c r="N497" s="4" t="s">
        <v>3</v>
      </c>
      <c r="O497" s="4">
        <v>2</v>
      </c>
      <c r="P497" s="4"/>
      <c r="Q497" s="4"/>
      <c r="R497" s="4"/>
      <c r="S497" s="4"/>
      <c r="T497" s="4"/>
      <c r="U497" s="4"/>
      <c r="V497" s="4"/>
      <c r="W497" s="4">
        <v>0</v>
      </c>
      <c r="X497" s="4">
        <v>1</v>
      </c>
      <c r="Y497" s="4">
        <v>0</v>
      </c>
      <c r="Z497" s="4"/>
      <c r="AA497" s="4"/>
      <c r="AB497" s="4"/>
    </row>
    <row r="498" spans="1:245" x14ac:dyDescent="0.2">
      <c r="A498" s="4">
        <v>50</v>
      </c>
      <c r="B498" s="4">
        <v>0</v>
      </c>
      <c r="C498" s="4">
        <v>0</v>
      </c>
      <c r="D498" s="4">
        <v>1</v>
      </c>
      <c r="E498" s="4">
        <v>233</v>
      </c>
      <c r="F498" s="4">
        <f>ROUND(Source!BD473,O498)</f>
        <v>0</v>
      </c>
      <c r="G498" s="4" t="s">
        <v>144</v>
      </c>
      <c r="H498" s="4" t="s">
        <v>145</v>
      </c>
      <c r="I498" s="4"/>
      <c r="J498" s="4"/>
      <c r="K498" s="4">
        <v>233</v>
      </c>
      <c r="L498" s="4">
        <v>24</v>
      </c>
      <c r="M498" s="4">
        <v>3</v>
      </c>
      <c r="N498" s="4" t="s">
        <v>3</v>
      </c>
      <c r="O498" s="4">
        <v>2</v>
      </c>
      <c r="P498" s="4"/>
      <c r="Q498" s="4"/>
      <c r="R498" s="4"/>
      <c r="S498" s="4"/>
      <c r="T498" s="4"/>
      <c r="U498" s="4"/>
      <c r="V498" s="4"/>
      <c r="W498" s="4">
        <v>0</v>
      </c>
      <c r="X498" s="4">
        <v>1</v>
      </c>
      <c r="Y498" s="4">
        <v>0</v>
      </c>
      <c r="Z498" s="4"/>
      <c r="AA498" s="4"/>
      <c r="AB498" s="4"/>
    </row>
    <row r="499" spans="1:245" x14ac:dyDescent="0.2">
      <c r="A499" s="4">
        <v>50</v>
      </c>
      <c r="B499" s="4">
        <v>0</v>
      </c>
      <c r="C499" s="4">
        <v>0</v>
      </c>
      <c r="D499" s="4">
        <v>1</v>
      </c>
      <c r="E499" s="4">
        <v>210</v>
      </c>
      <c r="F499" s="4">
        <f>ROUND(Source!X473,O499)</f>
        <v>422616.66</v>
      </c>
      <c r="G499" s="4" t="s">
        <v>146</v>
      </c>
      <c r="H499" s="4" t="s">
        <v>147</v>
      </c>
      <c r="I499" s="4"/>
      <c r="J499" s="4"/>
      <c r="K499" s="4">
        <v>210</v>
      </c>
      <c r="L499" s="4">
        <v>25</v>
      </c>
      <c r="M499" s="4">
        <v>3</v>
      </c>
      <c r="N499" s="4" t="s">
        <v>3</v>
      </c>
      <c r="O499" s="4">
        <v>2</v>
      </c>
      <c r="P499" s="4"/>
      <c r="Q499" s="4"/>
      <c r="R499" s="4"/>
      <c r="S499" s="4"/>
      <c r="T499" s="4"/>
      <c r="U499" s="4"/>
      <c r="V499" s="4"/>
      <c r="W499" s="4">
        <v>399154.94</v>
      </c>
      <c r="X499" s="4">
        <v>1</v>
      </c>
      <c r="Y499" s="4">
        <v>399154.94</v>
      </c>
      <c r="Z499" s="4"/>
      <c r="AA499" s="4"/>
      <c r="AB499" s="4"/>
    </row>
    <row r="500" spans="1:245" x14ac:dyDescent="0.2">
      <c r="A500" s="4">
        <v>50</v>
      </c>
      <c r="B500" s="4">
        <v>0</v>
      </c>
      <c r="C500" s="4">
        <v>0</v>
      </c>
      <c r="D500" s="4">
        <v>1</v>
      </c>
      <c r="E500" s="4">
        <v>211</v>
      </c>
      <c r="F500" s="4">
        <f>ROUND(Source!Y473,O500)</f>
        <v>60373.82</v>
      </c>
      <c r="G500" s="4" t="s">
        <v>148</v>
      </c>
      <c r="H500" s="4" t="s">
        <v>149</v>
      </c>
      <c r="I500" s="4"/>
      <c r="J500" s="4"/>
      <c r="K500" s="4">
        <v>211</v>
      </c>
      <c r="L500" s="4">
        <v>26</v>
      </c>
      <c r="M500" s="4">
        <v>3</v>
      </c>
      <c r="N500" s="4" t="s">
        <v>3</v>
      </c>
      <c r="O500" s="4">
        <v>2</v>
      </c>
      <c r="P500" s="4"/>
      <c r="Q500" s="4"/>
      <c r="R500" s="4"/>
      <c r="S500" s="4"/>
      <c r="T500" s="4"/>
      <c r="U500" s="4"/>
      <c r="V500" s="4"/>
      <c r="W500" s="4">
        <v>57022.14</v>
      </c>
      <c r="X500" s="4">
        <v>1</v>
      </c>
      <c r="Y500" s="4">
        <v>57022.14</v>
      </c>
      <c r="Z500" s="4"/>
      <c r="AA500" s="4"/>
      <c r="AB500" s="4"/>
    </row>
    <row r="501" spans="1:245" x14ac:dyDescent="0.2">
      <c r="A501" s="4">
        <v>50</v>
      </c>
      <c r="B501" s="4">
        <v>0</v>
      </c>
      <c r="C501" s="4">
        <v>0</v>
      </c>
      <c r="D501" s="4">
        <v>1</v>
      </c>
      <c r="E501" s="4">
        <v>224</v>
      </c>
      <c r="F501" s="4">
        <f>ROUND(Source!AR473,O501)</f>
        <v>1144010.04</v>
      </c>
      <c r="G501" s="4" t="s">
        <v>150</v>
      </c>
      <c r="H501" s="4" t="s">
        <v>151</v>
      </c>
      <c r="I501" s="4"/>
      <c r="J501" s="4"/>
      <c r="K501" s="4">
        <v>224</v>
      </c>
      <c r="L501" s="4">
        <v>27</v>
      </c>
      <c r="M501" s="4">
        <v>3</v>
      </c>
      <c r="N501" s="4" t="s">
        <v>3</v>
      </c>
      <c r="O501" s="4">
        <v>2</v>
      </c>
      <c r="P501" s="4"/>
      <c r="Q501" s="4"/>
      <c r="R501" s="4"/>
      <c r="S501" s="4"/>
      <c r="T501" s="4"/>
      <c r="U501" s="4"/>
      <c r="V501" s="4"/>
      <c r="W501" s="4">
        <v>1081306.28</v>
      </c>
      <c r="X501" s="4">
        <v>1</v>
      </c>
      <c r="Y501" s="4">
        <v>1081306.28</v>
      </c>
      <c r="Z501" s="4"/>
      <c r="AA501" s="4"/>
      <c r="AB501" s="4"/>
    </row>
    <row r="503" spans="1:245" x14ac:dyDescent="0.2">
      <c r="A503" s="1">
        <v>4</v>
      </c>
      <c r="B503" s="1">
        <v>1</v>
      </c>
      <c r="C503" s="1"/>
      <c r="D503" s="1">
        <f>ROW(A715)</f>
        <v>715</v>
      </c>
      <c r="E503" s="1"/>
      <c r="F503" s="1" t="s">
        <v>12</v>
      </c>
      <c r="G503" s="1" t="s">
        <v>357</v>
      </c>
      <c r="H503" s="1" t="s">
        <v>3</v>
      </c>
      <c r="I503" s="1">
        <v>0</v>
      </c>
      <c r="J503" s="1"/>
      <c r="K503" s="1">
        <v>-1</v>
      </c>
      <c r="L503" s="1"/>
      <c r="M503" s="1" t="s">
        <v>3</v>
      </c>
      <c r="N503" s="1"/>
      <c r="O503" s="1"/>
      <c r="P503" s="1"/>
      <c r="Q503" s="1"/>
      <c r="R503" s="1"/>
      <c r="S503" s="1">
        <v>0</v>
      </c>
      <c r="T503" s="1"/>
      <c r="U503" s="1" t="s">
        <v>3</v>
      </c>
      <c r="V503" s="1">
        <v>0</v>
      </c>
      <c r="W503" s="1"/>
      <c r="X503" s="1"/>
      <c r="Y503" s="1"/>
      <c r="Z503" s="1"/>
      <c r="AA503" s="1"/>
      <c r="AB503" s="1" t="s">
        <v>3</v>
      </c>
      <c r="AC503" s="1" t="s">
        <v>3</v>
      </c>
      <c r="AD503" s="1" t="s">
        <v>3</v>
      </c>
      <c r="AE503" s="1" t="s">
        <v>3</v>
      </c>
      <c r="AF503" s="1" t="s">
        <v>3</v>
      </c>
      <c r="AG503" s="1" t="s">
        <v>3</v>
      </c>
      <c r="AH503" s="1"/>
      <c r="AI503" s="1"/>
      <c r="AJ503" s="1"/>
      <c r="AK503" s="1"/>
      <c r="AL503" s="1"/>
      <c r="AM503" s="1"/>
      <c r="AN503" s="1"/>
      <c r="AO503" s="1"/>
      <c r="AP503" s="1" t="s">
        <v>3</v>
      </c>
      <c r="AQ503" s="1" t="s">
        <v>3</v>
      </c>
      <c r="AR503" s="1" t="s">
        <v>3</v>
      </c>
      <c r="AS503" s="1"/>
      <c r="AT503" s="1"/>
      <c r="AU503" s="1"/>
      <c r="AV503" s="1"/>
      <c r="AW503" s="1"/>
      <c r="AX503" s="1"/>
      <c r="AY503" s="1"/>
      <c r="AZ503" s="1" t="s">
        <v>3</v>
      </c>
      <c r="BA503" s="1"/>
      <c r="BB503" s="1" t="s">
        <v>3</v>
      </c>
      <c r="BC503" s="1" t="s">
        <v>3</v>
      </c>
      <c r="BD503" s="1" t="s">
        <v>3</v>
      </c>
      <c r="BE503" s="1" t="s">
        <v>3</v>
      </c>
      <c r="BF503" s="1" t="s">
        <v>3</v>
      </c>
      <c r="BG503" s="1" t="s">
        <v>3</v>
      </c>
      <c r="BH503" s="1" t="s">
        <v>3</v>
      </c>
      <c r="BI503" s="1" t="s">
        <v>3</v>
      </c>
      <c r="BJ503" s="1" t="s">
        <v>3</v>
      </c>
      <c r="BK503" s="1" t="s">
        <v>3</v>
      </c>
      <c r="BL503" s="1" t="s">
        <v>3</v>
      </c>
      <c r="BM503" s="1" t="s">
        <v>3</v>
      </c>
      <c r="BN503" s="1" t="s">
        <v>3</v>
      </c>
      <c r="BO503" s="1" t="s">
        <v>3</v>
      </c>
      <c r="BP503" s="1" t="s">
        <v>3</v>
      </c>
      <c r="BQ503" s="1"/>
      <c r="BR503" s="1"/>
      <c r="BS503" s="1"/>
      <c r="BT503" s="1"/>
      <c r="BU503" s="1"/>
      <c r="BV503" s="1"/>
      <c r="BW503" s="1"/>
      <c r="BX503" s="1">
        <v>0</v>
      </c>
      <c r="BY503" s="1"/>
      <c r="BZ503" s="1"/>
      <c r="CA503" s="1"/>
      <c r="CB503" s="1"/>
      <c r="CC503" s="1"/>
      <c r="CD503" s="1"/>
      <c r="CE503" s="1"/>
      <c r="CF503" s="1"/>
      <c r="CG503" s="1"/>
      <c r="CH503" s="1"/>
      <c r="CI503" s="1"/>
      <c r="CJ503" s="1">
        <v>0</v>
      </c>
    </row>
    <row r="505" spans="1:245" x14ac:dyDescent="0.2">
      <c r="A505" s="2">
        <v>52</v>
      </c>
      <c r="B505" s="2">
        <f t="shared" ref="B505:G505" si="457">B715</f>
        <v>1</v>
      </c>
      <c r="C505" s="2">
        <f t="shared" si="457"/>
        <v>4</v>
      </c>
      <c r="D505" s="2">
        <f t="shared" si="457"/>
        <v>503</v>
      </c>
      <c r="E505" s="2">
        <f t="shared" si="457"/>
        <v>0</v>
      </c>
      <c r="F505" s="2" t="str">
        <f t="shared" si="457"/>
        <v>Новый раздел</v>
      </c>
      <c r="G505" s="2" t="str">
        <f t="shared" si="457"/>
        <v>Дом двухсекционный  (10 шт.) по адресу: г. Москва, городское поселение Краснопахорское, квартал 107</v>
      </c>
      <c r="H505" s="2"/>
      <c r="I505" s="2"/>
      <c r="J505" s="2"/>
      <c r="K505" s="2"/>
      <c r="L505" s="2"/>
      <c r="M505" s="2"/>
      <c r="N505" s="2"/>
      <c r="O505" s="2">
        <f t="shared" ref="O505:AT505" si="458">O715</f>
        <v>490752.66</v>
      </c>
      <c r="P505" s="2">
        <f t="shared" si="458"/>
        <v>3714.21</v>
      </c>
      <c r="Q505" s="2">
        <f t="shared" si="458"/>
        <v>23930.16</v>
      </c>
      <c r="R505" s="2">
        <f t="shared" si="458"/>
        <v>15128.42</v>
      </c>
      <c r="S505" s="2">
        <f t="shared" si="458"/>
        <v>463108.29</v>
      </c>
      <c r="T505" s="2">
        <f t="shared" si="458"/>
        <v>0</v>
      </c>
      <c r="U505" s="2">
        <f t="shared" si="458"/>
        <v>765.64099999999985</v>
      </c>
      <c r="V505" s="2">
        <f t="shared" si="458"/>
        <v>0</v>
      </c>
      <c r="W505" s="2">
        <f t="shared" si="458"/>
        <v>0</v>
      </c>
      <c r="X505" s="2">
        <f t="shared" si="458"/>
        <v>324175.83</v>
      </c>
      <c r="Y505" s="2">
        <f t="shared" si="458"/>
        <v>46310.83</v>
      </c>
      <c r="Z505" s="2">
        <f t="shared" si="458"/>
        <v>0</v>
      </c>
      <c r="AA505" s="2">
        <f t="shared" si="458"/>
        <v>0</v>
      </c>
      <c r="AB505" s="2">
        <f t="shared" si="458"/>
        <v>0</v>
      </c>
      <c r="AC505" s="2">
        <f t="shared" si="458"/>
        <v>0</v>
      </c>
      <c r="AD505" s="2">
        <f t="shared" si="458"/>
        <v>0</v>
      </c>
      <c r="AE505" s="2">
        <f t="shared" si="458"/>
        <v>0</v>
      </c>
      <c r="AF505" s="2">
        <f t="shared" si="458"/>
        <v>0</v>
      </c>
      <c r="AG505" s="2">
        <f t="shared" si="458"/>
        <v>0</v>
      </c>
      <c r="AH505" s="2">
        <f t="shared" si="458"/>
        <v>0</v>
      </c>
      <c r="AI505" s="2">
        <f t="shared" si="458"/>
        <v>0</v>
      </c>
      <c r="AJ505" s="2">
        <f t="shared" si="458"/>
        <v>0</v>
      </c>
      <c r="AK505" s="2">
        <f t="shared" si="458"/>
        <v>0</v>
      </c>
      <c r="AL505" s="2">
        <f t="shared" si="458"/>
        <v>0</v>
      </c>
      <c r="AM505" s="2">
        <f t="shared" si="458"/>
        <v>0</v>
      </c>
      <c r="AN505" s="2">
        <f t="shared" si="458"/>
        <v>0</v>
      </c>
      <c r="AO505" s="2">
        <f t="shared" si="458"/>
        <v>0</v>
      </c>
      <c r="AP505" s="2">
        <f t="shared" si="458"/>
        <v>0</v>
      </c>
      <c r="AQ505" s="2">
        <f t="shared" si="458"/>
        <v>0</v>
      </c>
      <c r="AR505" s="2">
        <f t="shared" si="458"/>
        <v>877578.04</v>
      </c>
      <c r="AS505" s="2">
        <f t="shared" si="458"/>
        <v>0</v>
      </c>
      <c r="AT505" s="2">
        <f t="shared" si="458"/>
        <v>0</v>
      </c>
      <c r="AU505" s="2">
        <f t="shared" ref="AU505:BZ505" si="459">AU715</f>
        <v>877578.04</v>
      </c>
      <c r="AV505" s="2">
        <f t="shared" si="459"/>
        <v>3714.21</v>
      </c>
      <c r="AW505" s="2">
        <f t="shared" si="459"/>
        <v>3714.21</v>
      </c>
      <c r="AX505" s="2">
        <f t="shared" si="459"/>
        <v>0</v>
      </c>
      <c r="AY505" s="2">
        <f t="shared" si="459"/>
        <v>3714.21</v>
      </c>
      <c r="AZ505" s="2">
        <f t="shared" si="459"/>
        <v>0</v>
      </c>
      <c r="BA505" s="2">
        <f t="shared" si="459"/>
        <v>0</v>
      </c>
      <c r="BB505" s="2">
        <f t="shared" si="459"/>
        <v>0</v>
      </c>
      <c r="BC505" s="2">
        <f t="shared" si="459"/>
        <v>0</v>
      </c>
      <c r="BD505" s="2">
        <f t="shared" si="459"/>
        <v>0</v>
      </c>
      <c r="BE505" s="2">
        <f t="shared" si="459"/>
        <v>0</v>
      </c>
      <c r="BF505" s="2">
        <f t="shared" si="459"/>
        <v>0</v>
      </c>
      <c r="BG505" s="2">
        <f t="shared" si="459"/>
        <v>0</v>
      </c>
      <c r="BH505" s="2">
        <f t="shared" si="459"/>
        <v>0</v>
      </c>
      <c r="BI505" s="2">
        <f t="shared" si="459"/>
        <v>0</v>
      </c>
      <c r="BJ505" s="2">
        <f t="shared" si="459"/>
        <v>0</v>
      </c>
      <c r="BK505" s="2">
        <f t="shared" si="459"/>
        <v>0</v>
      </c>
      <c r="BL505" s="2">
        <f t="shared" si="459"/>
        <v>0</v>
      </c>
      <c r="BM505" s="2">
        <f t="shared" si="459"/>
        <v>0</v>
      </c>
      <c r="BN505" s="2">
        <f t="shared" si="459"/>
        <v>0</v>
      </c>
      <c r="BO505" s="2">
        <f t="shared" si="459"/>
        <v>0</v>
      </c>
      <c r="BP505" s="2">
        <f t="shared" si="459"/>
        <v>0</v>
      </c>
      <c r="BQ505" s="2">
        <f t="shared" si="459"/>
        <v>0</v>
      </c>
      <c r="BR505" s="2">
        <f t="shared" si="459"/>
        <v>0</v>
      </c>
      <c r="BS505" s="2">
        <f t="shared" si="459"/>
        <v>0</v>
      </c>
      <c r="BT505" s="2">
        <f t="shared" si="459"/>
        <v>0</v>
      </c>
      <c r="BU505" s="2">
        <f t="shared" si="459"/>
        <v>0</v>
      </c>
      <c r="BV505" s="2">
        <f t="shared" si="459"/>
        <v>0</v>
      </c>
      <c r="BW505" s="2">
        <f t="shared" si="459"/>
        <v>0</v>
      </c>
      <c r="BX505" s="2">
        <f t="shared" si="459"/>
        <v>0</v>
      </c>
      <c r="BY505" s="2">
        <f t="shared" si="459"/>
        <v>0</v>
      </c>
      <c r="BZ505" s="2">
        <f t="shared" si="459"/>
        <v>0</v>
      </c>
      <c r="CA505" s="2">
        <f t="shared" ref="CA505:DF505" si="460">CA715</f>
        <v>0</v>
      </c>
      <c r="CB505" s="2">
        <f t="shared" si="460"/>
        <v>0</v>
      </c>
      <c r="CC505" s="2">
        <f t="shared" si="460"/>
        <v>0</v>
      </c>
      <c r="CD505" s="2">
        <f t="shared" si="460"/>
        <v>0</v>
      </c>
      <c r="CE505" s="2">
        <f t="shared" si="460"/>
        <v>0</v>
      </c>
      <c r="CF505" s="2">
        <f t="shared" si="460"/>
        <v>0</v>
      </c>
      <c r="CG505" s="2">
        <f t="shared" si="460"/>
        <v>0</v>
      </c>
      <c r="CH505" s="2">
        <f t="shared" si="460"/>
        <v>0</v>
      </c>
      <c r="CI505" s="2">
        <f t="shared" si="460"/>
        <v>0</v>
      </c>
      <c r="CJ505" s="2">
        <f t="shared" si="460"/>
        <v>0</v>
      </c>
      <c r="CK505" s="2">
        <f t="shared" si="460"/>
        <v>0</v>
      </c>
      <c r="CL505" s="2">
        <f t="shared" si="460"/>
        <v>0</v>
      </c>
      <c r="CM505" s="2">
        <f t="shared" si="460"/>
        <v>0</v>
      </c>
      <c r="CN505" s="2">
        <f t="shared" si="460"/>
        <v>0</v>
      </c>
      <c r="CO505" s="2">
        <f t="shared" si="460"/>
        <v>0</v>
      </c>
      <c r="CP505" s="2">
        <f t="shared" si="460"/>
        <v>0</v>
      </c>
      <c r="CQ505" s="2">
        <f t="shared" si="460"/>
        <v>0</v>
      </c>
      <c r="CR505" s="2">
        <f t="shared" si="460"/>
        <v>0</v>
      </c>
      <c r="CS505" s="2">
        <f t="shared" si="460"/>
        <v>0</v>
      </c>
      <c r="CT505" s="2">
        <f t="shared" si="460"/>
        <v>0</v>
      </c>
      <c r="CU505" s="2">
        <f t="shared" si="460"/>
        <v>0</v>
      </c>
      <c r="CV505" s="2">
        <f t="shared" si="460"/>
        <v>0</v>
      </c>
      <c r="CW505" s="2">
        <f t="shared" si="460"/>
        <v>0</v>
      </c>
      <c r="CX505" s="2">
        <f t="shared" si="460"/>
        <v>0</v>
      </c>
      <c r="CY505" s="2">
        <f t="shared" si="460"/>
        <v>0</v>
      </c>
      <c r="CZ505" s="2">
        <f t="shared" si="460"/>
        <v>0</v>
      </c>
      <c r="DA505" s="2">
        <f t="shared" si="460"/>
        <v>0</v>
      </c>
      <c r="DB505" s="2">
        <f t="shared" si="460"/>
        <v>0</v>
      </c>
      <c r="DC505" s="2">
        <f t="shared" si="460"/>
        <v>0</v>
      </c>
      <c r="DD505" s="2">
        <f t="shared" si="460"/>
        <v>0</v>
      </c>
      <c r="DE505" s="2">
        <f t="shared" si="460"/>
        <v>0</v>
      </c>
      <c r="DF505" s="2">
        <f t="shared" si="460"/>
        <v>0</v>
      </c>
      <c r="DG505" s="3">
        <f t="shared" ref="DG505:EL505" si="461">DG715</f>
        <v>0</v>
      </c>
      <c r="DH505" s="3">
        <f t="shared" si="461"/>
        <v>0</v>
      </c>
      <c r="DI505" s="3">
        <f t="shared" si="461"/>
        <v>0</v>
      </c>
      <c r="DJ505" s="3">
        <f t="shared" si="461"/>
        <v>0</v>
      </c>
      <c r="DK505" s="3">
        <f t="shared" si="461"/>
        <v>0</v>
      </c>
      <c r="DL505" s="3">
        <f t="shared" si="461"/>
        <v>0</v>
      </c>
      <c r="DM505" s="3">
        <f t="shared" si="461"/>
        <v>0</v>
      </c>
      <c r="DN505" s="3">
        <f t="shared" si="461"/>
        <v>0</v>
      </c>
      <c r="DO505" s="3">
        <f t="shared" si="461"/>
        <v>0</v>
      </c>
      <c r="DP505" s="3">
        <f t="shared" si="461"/>
        <v>0</v>
      </c>
      <c r="DQ505" s="3">
        <f t="shared" si="461"/>
        <v>0</v>
      </c>
      <c r="DR505" s="3">
        <f t="shared" si="461"/>
        <v>0</v>
      </c>
      <c r="DS505" s="3">
        <f t="shared" si="461"/>
        <v>0</v>
      </c>
      <c r="DT505" s="3">
        <f t="shared" si="461"/>
        <v>0</v>
      </c>
      <c r="DU505" s="3">
        <f t="shared" si="461"/>
        <v>0</v>
      </c>
      <c r="DV505" s="3">
        <f t="shared" si="461"/>
        <v>0</v>
      </c>
      <c r="DW505" s="3">
        <f t="shared" si="461"/>
        <v>0</v>
      </c>
      <c r="DX505" s="3">
        <f t="shared" si="461"/>
        <v>0</v>
      </c>
      <c r="DY505" s="3">
        <f t="shared" si="461"/>
        <v>0</v>
      </c>
      <c r="DZ505" s="3">
        <f t="shared" si="461"/>
        <v>0</v>
      </c>
      <c r="EA505" s="3">
        <f t="shared" si="461"/>
        <v>0</v>
      </c>
      <c r="EB505" s="3">
        <f t="shared" si="461"/>
        <v>0</v>
      </c>
      <c r="EC505" s="3">
        <f t="shared" si="461"/>
        <v>0</v>
      </c>
      <c r="ED505" s="3">
        <f t="shared" si="461"/>
        <v>0</v>
      </c>
      <c r="EE505" s="3">
        <f t="shared" si="461"/>
        <v>0</v>
      </c>
      <c r="EF505" s="3">
        <f t="shared" si="461"/>
        <v>0</v>
      </c>
      <c r="EG505" s="3">
        <f t="shared" si="461"/>
        <v>0</v>
      </c>
      <c r="EH505" s="3">
        <f t="shared" si="461"/>
        <v>0</v>
      </c>
      <c r="EI505" s="3">
        <f t="shared" si="461"/>
        <v>0</v>
      </c>
      <c r="EJ505" s="3">
        <f t="shared" si="461"/>
        <v>0</v>
      </c>
      <c r="EK505" s="3">
        <f t="shared" si="461"/>
        <v>0</v>
      </c>
      <c r="EL505" s="3">
        <f t="shared" si="461"/>
        <v>0</v>
      </c>
      <c r="EM505" s="3">
        <f t="shared" ref="EM505:FR505" si="462">EM715</f>
        <v>0</v>
      </c>
      <c r="EN505" s="3">
        <f t="shared" si="462"/>
        <v>0</v>
      </c>
      <c r="EO505" s="3">
        <f t="shared" si="462"/>
        <v>0</v>
      </c>
      <c r="EP505" s="3">
        <f t="shared" si="462"/>
        <v>0</v>
      </c>
      <c r="EQ505" s="3">
        <f t="shared" si="462"/>
        <v>0</v>
      </c>
      <c r="ER505" s="3">
        <f t="shared" si="462"/>
        <v>0</v>
      </c>
      <c r="ES505" s="3">
        <f t="shared" si="462"/>
        <v>0</v>
      </c>
      <c r="ET505" s="3">
        <f t="shared" si="462"/>
        <v>0</v>
      </c>
      <c r="EU505" s="3">
        <f t="shared" si="462"/>
        <v>0</v>
      </c>
      <c r="EV505" s="3">
        <f t="shared" si="462"/>
        <v>0</v>
      </c>
      <c r="EW505" s="3">
        <f t="shared" si="462"/>
        <v>0</v>
      </c>
      <c r="EX505" s="3">
        <f t="shared" si="462"/>
        <v>0</v>
      </c>
      <c r="EY505" s="3">
        <f t="shared" si="462"/>
        <v>0</v>
      </c>
      <c r="EZ505" s="3">
        <f t="shared" si="462"/>
        <v>0</v>
      </c>
      <c r="FA505" s="3">
        <f t="shared" si="462"/>
        <v>0</v>
      </c>
      <c r="FB505" s="3">
        <f t="shared" si="462"/>
        <v>0</v>
      </c>
      <c r="FC505" s="3">
        <f t="shared" si="462"/>
        <v>0</v>
      </c>
      <c r="FD505" s="3">
        <f t="shared" si="462"/>
        <v>0</v>
      </c>
      <c r="FE505" s="3">
        <f t="shared" si="462"/>
        <v>0</v>
      </c>
      <c r="FF505" s="3">
        <f t="shared" si="462"/>
        <v>0</v>
      </c>
      <c r="FG505" s="3">
        <f t="shared" si="462"/>
        <v>0</v>
      </c>
      <c r="FH505" s="3">
        <f t="shared" si="462"/>
        <v>0</v>
      </c>
      <c r="FI505" s="3">
        <f t="shared" si="462"/>
        <v>0</v>
      </c>
      <c r="FJ505" s="3">
        <f t="shared" si="462"/>
        <v>0</v>
      </c>
      <c r="FK505" s="3">
        <f t="shared" si="462"/>
        <v>0</v>
      </c>
      <c r="FL505" s="3">
        <f t="shared" si="462"/>
        <v>0</v>
      </c>
      <c r="FM505" s="3">
        <f t="shared" si="462"/>
        <v>0</v>
      </c>
      <c r="FN505" s="3">
        <f t="shared" si="462"/>
        <v>0</v>
      </c>
      <c r="FO505" s="3">
        <f t="shared" si="462"/>
        <v>0</v>
      </c>
      <c r="FP505" s="3">
        <f t="shared" si="462"/>
        <v>0</v>
      </c>
      <c r="FQ505" s="3">
        <f t="shared" si="462"/>
        <v>0</v>
      </c>
      <c r="FR505" s="3">
        <f t="shared" si="462"/>
        <v>0</v>
      </c>
      <c r="FS505" s="3">
        <f t="shared" ref="FS505:GX505" si="463">FS715</f>
        <v>0</v>
      </c>
      <c r="FT505" s="3">
        <f t="shared" si="463"/>
        <v>0</v>
      </c>
      <c r="FU505" s="3">
        <f t="shared" si="463"/>
        <v>0</v>
      </c>
      <c r="FV505" s="3">
        <f t="shared" si="463"/>
        <v>0</v>
      </c>
      <c r="FW505" s="3">
        <f t="shared" si="463"/>
        <v>0</v>
      </c>
      <c r="FX505" s="3">
        <f t="shared" si="463"/>
        <v>0</v>
      </c>
      <c r="FY505" s="3">
        <f t="shared" si="463"/>
        <v>0</v>
      </c>
      <c r="FZ505" s="3">
        <f t="shared" si="463"/>
        <v>0</v>
      </c>
      <c r="GA505" s="3">
        <f t="shared" si="463"/>
        <v>0</v>
      </c>
      <c r="GB505" s="3">
        <f t="shared" si="463"/>
        <v>0</v>
      </c>
      <c r="GC505" s="3">
        <f t="shared" si="463"/>
        <v>0</v>
      </c>
      <c r="GD505" s="3">
        <f t="shared" si="463"/>
        <v>0</v>
      </c>
      <c r="GE505" s="3">
        <f t="shared" si="463"/>
        <v>0</v>
      </c>
      <c r="GF505" s="3">
        <f t="shared" si="463"/>
        <v>0</v>
      </c>
      <c r="GG505" s="3">
        <f t="shared" si="463"/>
        <v>0</v>
      </c>
      <c r="GH505" s="3">
        <f t="shared" si="463"/>
        <v>0</v>
      </c>
      <c r="GI505" s="3">
        <f t="shared" si="463"/>
        <v>0</v>
      </c>
      <c r="GJ505" s="3">
        <f t="shared" si="463"/>
        <v>0</v>
      </c>
      <c r="GK505" s="3">
        <f t="shared" si="463"/>
        <v>0</v>
      </c>
      <c r="GL505" s="3">
        <f t="shared" si="463"/>
        <v>0</v>
      </c>
      <c r="GM505" s="3">
        <f t="shared" si="463"/>
        <v>0</v>
      </c>
      <c r="GN505" s="3">
        <f t="shared" si="463"/>
        <v>0</v>
      </c>
      <c r="GO505" s="3">
        <f t="shared" si="463"/>
        <v>0</v>
      </c>
      <c r="GP505" s="3">
        <f t="shared" si="463"/>
        <v>0</v>
      </c>
      <c r="GQ505" s="3">
        <f t="shared" si="463"/>
        <v>0</v>
      </c>
      <c r="GR505" s="3">
        <f t="shared" si="463"/>
        <v>0</v>
      </c>
      <c r="GS505" s="3">
        <f t="shared" si="463"/>
        <v>0</v>
      </c>
      <c r="GT505" s="3">
        <f t="shared" si="463"/>
        <v>0</v>
      </c>
      <c r="GU505" s="3">
        <f t="shared" si="463"/>
        <v>0</v>
      </c>
      <c r="GV505" s="3">
        <f t="shared" si="463"/>
        <v>0</v>
      </c>
      <c r="GW505" s="3">
        <f t="shared" si="463"/>
        <v>0</v>
      </c>
      <c r="GX505" s="3">
        <f t="shared" si="463"/>
        <v>0</v>
      </c>
    </row>
    <row r="507" spans="1:245" x14ac:dyDescent="0.2">
      <c r="A507" s="1">
        <v>5</v>
      </c>
      <c r="B507" s="1">
        <v>1</v>
      </c>
      <c r="C507" s="1"/>
      <c r="D507" s="1">
        <f>ROW(A534)</f>
        <v>534</v>
      </c>
      <c r="E507" s="1"/>
      <c r="F507" s="1" t="s">
        <v>14</v>
      </c>
      <c r="G507" s="1" t="s">
        <v>15</v>
      </c>
      <c r="H507" s="1" t="s">
        <v>3</v>
      </c>
      <c r="I507" s="1">
        <v>0</v>
      </c>
      <c r="J507" s="1"/>
      <c r="K507" s="1">
        <v>-1</v>
      </c>
      <c r="L507" s="1"/>
      <c r="M507" s="1" t="s">
        <v>3</v>
      </c>
      <c r="N507" s="1"/>
      <c r="O507" s="1"/>
      <c r="P507" s="1"/>
      <c r="Q507" s="1"/>
      <c r="R507" s="1"/>
      <c r="S507" s="1">
        <v>0</v>
      </c>
      <c r="T507" s="1"/>
      <c r="U507" s="1" t="s">
        <v>3</v>
      </c>
      <c r="V507" s="1">
        <v>0</v>
      </c>
      <c r="W507" s="1"/>
      <c r="X507" s="1"/>
      <c r="Y507" s="1"/>
      <c r="Z507" s="1"/>
      <c r="AA507" s="1"/>
      <c r="AB507" s="1" t="s">
        <v>3</v>
      </c>
      <c r="AC507" s="1" t="s">
        <v>3</v>
      </c>
      <c r="AD507" s="1" t="s">
        <v>3</v>
      </c>
      <c r="AE507" s="1" t="s">
        <v>3</v>
      </c>
      <c r="AF507" s="1" t="s">
        <v>3</v>
      </c>
      <c r="AG507" s="1" t="s">
        <v>3</v>
      </c>
      <c r="AH507" s="1"/>
      <c r="AI507" s="1"/>
      <c r="AJ507" s="1"/>
      <c r="AK507" s="1"/>
      <c r="AL507" s="1"/>
      <c r="AM507" s="1"/>
      <c r="AN507" s="1"/>
      <c r="AO507" s="1"/>
      <c r="AP507" s="1" t="s">
        <v>3</v>
      </c>
      <c r="AQ507" s="1" t="s">
        <v>3</v>
      </c>
      <c r="AR507" s="1" t="s">
        <v>3</v>
      </c>
      <c r="AS507" s="1"/>
      <c r="AT507" s="1"/>
      <c r="AU507" s="1"/>
      <c r="AV507" s="1"/>
      <c r="AW507" s="1"/>
      <c r="AX507" s="1"/>
      <c r="AY507" s="1"/>
      <c r="AZ507" s="1" t="s">
        <v>3</v>
      </c>
      <c r="BA507" s="1"/>
      <c r="BB507" s="1" t="s">
        <v>3</v>
      </c>
      <c r="BC507" s="1" t="s">
        <v>3</v>
      </c>
      <c r="BD507" s="1" t="s">
        <v>3</v>
      </c>
      <c r="BE507" s="1" t="s">
        <v>3</v>
      </c>
      <c r="BF507" s="1" t="s">
        <v>3</v>
      </c>
      <c r="BG507" s="1" t="s">
        <v>3</v>
      </c>
      <c r="BH507" s="1" t="s">
        <v>3</v>
      </c>
      <c r="BI507" s="1" t="s">
        <v>3</v>
      </c>
      <c r="BJ507" s="1" t="s">
        <v>3</v>
      </c>
      <c r="BK507" s="1" t="s">
        <v>3</v>
      </c>
      <c r="BL507" s="1" t="s">
        <v>3</v>
      </c>
      <c r="BM507" s="1" t="s">
        <v>3</v>
      </c>
      <c r="BN507" s="1" t="s">
        <v>3</v>
      </c>
      <c r="BO507" s="1" t="s">
        <v>3</v>
      </c>
      <c r="BP507" s="1" t="s">
        <v>3</v>
      </c>
      <c r="BQ507" s="1"/>
      <c r="BR507" s="1"/>
      <c r="BS507" s="1"/>
      <c r="BT507" s="1"/>
      <c r="BU507" s="1"/>
      <c r="BV507" s="1"/>
      <c r="BW507" s="1"/>
      <c r="BX507" s="1">
        <v>0</v>
      </c>
      <c r="BY507" s="1"/>
      <c r="BZ507" s="1"/>
      <c r="CA507" s="1"/>
      <c r="CB507" s="1"/>
      <c r="CC507" s="1"/>
      <c r="CD507" s="1"/>
      <c r="CE507" s="1"/>
      <c r="CF507" s="1"/>
      <c r="CG507" s="1"/>
      <c r="CH507" s="1"/>
      <c r="CI507" s="1"/>
      <c r="CJ507" s="1">
        <v>0</v>
      </c>
    </row>
    <row r="509" spans="1:245" x14ac:dyDescent="0.2">
      <c r="A509" s="2">
        <v>52</v>
      </c>
      <c r="B509" s="2">
        <f t="shared" ref="B509:G509" si="464">B534</f>
        <v>1</v>
      </c>
      <c r="C509" s="2">
        <f t="shared" si="464"/>
        <v>5</v>
      </c>
      <c r="D509" s="2">
        <f t="shared" si="464"/>
        <v>507</v>
      </c>
      <c r="E509" s="2">
        <f t="shared" si="464"/>
        <v>0</v>
      </c>
      <c r="F509" s="2" t="str">
        <f t="shared" si="464"/>
        <v>Новый подраздел</v>
      </c>
      <c r="G509" s="2" t="str">
        <f t="shared" si="464"/>
        <v>Система внутреннего водоснабжения и водоотведения</v>
      </c>
      <c r="H509" s="2"/>
      <c r="I509" s="2"/>
      <c r="J509" s="2"/>
      <c r="K509" s="2"/>
      <c r="L509" s="2"/>
      <c r="M509" s="2"/>
      <c r="N509" s="2"/>
      <c r="O509" s="2">
        <f t="shared" ref="O509:AT509" si="465">O534</f>
        <v>71639.47</v>
      </c>
      <c r="P509" s="2">
        <f t="shared" si="465"/>
        <v>356.48</v>
      </c>
      <c r="Q509" s="2">
        <f t="shared" si="465"/>
        <v>18032.96</v>
      </c>
      <c r="R509" s="2">
        <f t="shared" si="465"/>
        <v>11426.34</v>
      </c>
      <c r="S509" s="2">
        <f t="shared" si="465"/>
        <v>53250.03</v>
      </c>
      <c r="T509" s="2">
        <f t="shared" si="465"/>
        <v>0</v>
      </c>
      <c r="U509" s="2">
        <f t="shared" si="465"/>
        <v>93.953000000000017</v>
      </c>
      <c r="V509" s="2">
        <f t="shared" si="465"/>
        <v>0</v>
      </c>
      <c r="W509" s="2">
        <f t="shared" si="465"/>
        <v>0</v>
      </c>
      <c r="X509" s="2">
        <f t="shared" si="465"/>
        <v>37275.03</v>
      </c>
      <c r="Y509" s="2">
        <f t="shared" si="465"/>
        <v>5325.01</v>
      </c>
      <c r="Z509" s="2">
        <f t="shared" si="465"/>
        <v>0</v>
      </c>
      <c r="AA509" s="2">
        <f t="shared" si="465"/>
        <v>0</v>
      </c>
      <c r="AB509" s="2">
        <f t="shared" si="465"/>
        <v>71639.47</v>
      </c>
      <c r="AC509" s="2">
        <f t="shared" si="465"/>
        <v>356.48</v>
      </c>
      <c r="AD509" s="2">
        <f t="shared" si="465"/>
        <v>18032.96</v>
      </c>
      <c r="AE509" s="2">
        <f t="shared" si="465"/>
        <v>11426.34</v>
      </c>
      <c r="AF509" s="2">
        <f t="shared" si="465"/>
        <v>53250.03</v>
      </c>
      <c r="AG509" s="2">
        <f t="shared" si="465"/>
        <v>0</v>
      </c>
      <c r="AH509" s="2">
        <f t="shared" si="465"/>
        <v>93.953000000000017</v>
      </c>
      <c r="AI509" s="2">
        <f t="shared" si="465"/>
        <v>0</v>
      </c>
      <c r="AJ509" s="2">
        <f t="shared" si="465"/>
        <v>0</v>
      </c>
      <c r="AK509" s="2">
        <f t="shared" si="465"/>
        <v>37275.03</v>
      </c>
      <c r="AL509" s="2">
        <f t="shared" si="465"/>
        <v>5325.01</v>
      </c>
      <c r="AM509" s="2">
        <f t="shared" si="465"/>
        <v>0</v>
      </c>
      <c r="AN509" s="2">
        <f t="shared" si="465"/>
        <v>0</v>
      </c>
      <c r="AO509" s="2">
        <f t="shared" si="465"/>
        <v>0</v>
      </c>
      <c r="AP509" s="2">
        <f t="shared" si="465"/>
        <v>0</v>
      </c>
      <c r="AQ509" s="2">
        <f t="shared" si="465"/>
        <v>0</v>
      </c>
      <c r="AR509" s="2">
        <f t="shared" si="465"/>
        <v>126579.98</v>
      </c>
      <c r="AS509" s="2">
        <f t="shared" si="465"/>
        <v>0</v>
      </c>
      <c r="AT509" s="2">
        <f t="shared" si="465"/>
        <v>0</v>
      </c>
      <c r="AU509" s="2">
        <f t="shared" ref="AU509:BZ509" si="466">AU534</f>
        <v>126579.98</v>
      </c>
      <c r="AV509" s="2">
        <f t="shared" si="466"/>
        <v>356.48</v>
      </c>
      <c r="AW509" s="2">
        <f t="shared" si="466"/>
        <v>356.48</v>
      </c>
      <c r="AX509" s="2">
        <f t="shared" si="466"/>
        <v>0</v>
      </c>
      <c r="AY509" s="2">
        <f t="shared" si="466"/>
        <v>356.48</v>
      </c>
      <c r="AZ509" s="2">
        <f t="shared" si="466"/>
        <v>0</v>
      </c>
      <c r="BA509" s="2">
        <f t="shared" si="466"/>
        <v>0</v>
      </c>
      <c r="BB509" s="2">
        <f t="shared" si="466"/>
        <v>0</v>
      </c>
      <c r="BC509" s="2">
        <f t="shared" si="466"/>
        <v>0</v>
      </c>
      <c r="BD509" s="2">
        <f t="shared" si="466"/>
        <v>0</v>
      </c>
      <c r="BE509" s="2">
        <f t="shared" si="466"/>
        <v>0</v>
      </c>
      <c r="BF509" s="2">
        <f t="shared" si="466"/>
        <v>0</v>
      </c>
      <c r="BG509" s="2">
        <f t="shared" si="466"/>
        <v>0</v>
      </c>
      <c r="BH509" s="2">
        <f t="shared" si="466"/>
        <v>0</v>
      </c>
      <c r="BI509" s="2">
        <f t="shared" si="466"/>
        <v>0</v>
      </c>
      <c r="BJ509" s="2">
        <f t="shared" si="466"/>
        <v>0</v>
      </c>
      <c r="BK509" s="2">
        <f t="shared" si="466"/>
        <v>0</v>
      </c>
      <c r="BL509" s="2">
        <f t="shared" si="466"/>
        <v>0</v>
      </c>
      <c r="BM509" s="2">
        <f t="shared" si="466"/>
        <v>0</v>
      </c>
      <c r="BN509" s="2">
        <f t="shared" si="466"/>
        <v>0</v>
      </c>
      <c r="BO509" s="2">
        <f t="shared" si="466"/>
        <v>0</v>
      </c>
      <c r="BP509" s="2">
        <f t="shared" si="466"/>
        <v>0</v>
      </c>
      <c r="BQ509" s="2">
        <f t="shared" si="466"/>
        <v>0</v>
      </c>
      <c r="BR509" s="2">
        <f t="shared" si="466"/>
        <v>0</v>
      </c>
      <c r="BS509" s="2">
        <f t="shared" si="466"/>
        <v>0</v>
      </c>
      <c r="BT509" s="2">
        <f t="shared" si="466"/>
        <v>0</v>
      </c>
      <c r="BU509" s="2">
        <f t="shared" si="466"/>
        <v>0</v>
      </c>
      <c r="BV509" s="2">
        <f t="shared" si="466"/>
        <v>0</v>
      </c>
      <c r="BW509" s="2">
        <f t="shared" si="466"/>
        <v>0</v>
      </c>
      <c r="BX509" s="2">
        <f t="shared" si="466"/>
        <v>0</v>
      </c>
      <c r="BY509" s="2">
        <f t="shared" si="466"/>
        <v>0</v>
      </c>
      <c r="BZ509" s="2">
        <f t="shared" si="466"/>
        <v>0</v>
      </c>
      <c r="CA509" s="2">
        <f t="shared" ref="CA509:DF509" si="467">CA534</f>
        <v>126579.98</v>
      </c>
      <c r="CB509" s="2">
        <f t="shared" si="467"/>
        <v>0</v>
      </c>
      <c r="CC509" s="2">
        <f t="shared" si="467"/>
        <v>0</v>
      </c>
      <c r="CD509" s="2">
        <f t="shared" si="467"/>
        <v>126579.98</v>
      </c>
      <c r="CE509" s="2">
        <f t="shared" si="467"/>
        <v>356.48</v>
      </c>
      <c r="CF509" s="2">
        <f t="shared" si="467"/>
        <v>356.48</v>
      </c>
      <c r="CG509" s="2">
        <f t="shared" si="467"/>
        <v>0</v>
      </c>
      <c r="CH509" s="2">
        <f t="shared" si="467"/>
        <v>356.48</v>
      </c>
      <c r="CI509" s="2">
        <f t="shared" si="467"/>
        <v>0</v>
      </c>
      <c r="CJ509" s="2">
        <f t="shared" si="467"/>
        <v>0</v>
      </c>
      <c r="CK509" s="2">
        <f t="shared" si="467"/>
        <v>0</v>
      </c>
      <c r="CL509" s="2">
        <f t="shared" si="467"/>
        <v>0</v>
      </c>
      <c r="CM509" s="2">
        <f t="shared" si="467"/>
        <v>0</v>
      </c>
      <c r="CN509" s="2">
        <f t="shared" si="467"/>
        <v>0</v>
      </c>
      <c r="CO509" s="2">
        <f t="shared" si="467"/>
        <v>0</v>
      </c>
      <c r="CP509" s="2">
        <f t="shared" si="467"/>
        <v>0</v>
      </c>
      <c r="CQ509" s="2">
        <f t="shared" si="467"/>
        <v>0</v>
      </c>
      <c r="CR509" s="2">
        <f t="shared" si="467"/>
        <v>0</v>
      </c>
      <c r="CS509" s="2">
        <f t="shared" si="467"/>
        <v>0</v>
      </c>
      <c r="CT509" s="2">
        <f t="shared" si="467"/>
        <v>0</v>
      </c>
      <c r="CU509" s="2">
        <f t="shared" si="467"/>
        <v>0</v>
      </c>
      <c r="CV509" s="2">
        <f t="shared" si="467"/>
        <v>0</v>
      </c>
      <c r="CW509" s="2">
        <f t="shared" si="467"/>
        <v>0</v>
      </c>
      <c r="CX509" s="2">
        <f t="shared" si="467"/>
        <v>0</v>
      </c>
      <c r="CY509" s="2">
        <f t="shared" si="467"/>
        <v>0</v>
      </c>
      <c r="CZ509" s="2">
        <f t="shared" si="467"/>
        <v>0</v>
      </c>
      <c r="DA509" s="2">
        <f t="shared" si="467"/>
        <v>0</v>
      </c>
      <c r="DB509" s="2">
        <f t="shared" si="467"/>
        <v>0</v>
      </c>
      <c r="DC509" s="2">
        <f t="shared" si="467"/>
        <v>0</v>
      </c>
      <c r="DD509" s="2">
        <f t="shared" si="467"/>
        <v>0</v>
      </c>
      <c r="DE509" s="2">
        <f t="shared" si="467"/>
        <v>0</v>
      </c>
      <c r="DF509" s="2">
        <f t="shared" si="467"/>
        <v>0</v>
      </c>
      <c r="DG509" s="3">
        <f t="shared" ref="DG509:EL509" si="468">DG534</f>
        <v>0</v>
      </c>
      <c r="DH509" s="3">
        <f t="shared" si="468"/>
        <v>0</v>
      </c>
      <c r="DI509" s="3">
        <f t="shared" si="468"/>
        <v>0</v>
      </c>
      <c r="DJ509" s="3">
        <f t="shared" si="468"/>
        <v>0</v>
      </c>
      <c r="DK509" s="3">
        <f t="shared" si="468"/>
        <v>0</v>
      </c>
      <c r="DL509" s="3">
        <f t="shared" si="468"/>
        <v>0</v>
      </c>
      <c r="DM509" s="3">
        <f t="shared" si="468"/>
        <v>0</v>
      </c>
      <c r="DN509" s="3">
        <f t="shared" si="468"/>
        <v>0</v>
      </c>
      <c r="DO509" s="3">
        <f t="shared" si="468"/>
        <v>0</v>
      </c>
      <c r="DP509" s="3">
        <f t="shared" si="468"/>
        <v>0</v>
      </c>
      <c r="DQ509" s="3">
        <f t="shared" si="468"/>
        <v>0</v>
      </c>
      <c r="DR509" s="3">
        <f t="shared" si="468"/>
        <v>0</v>
      </c>
      <c r="DS509" s="3">
        <f t="shared" si="468"/>
        <v>0</v>
      </c>
      <c r="DT509" s="3">
        <f t="shared" si="468"/>
        <v>0</v>
      </c>
      <c r="DU509" s="3">
        <f t="shared" si="468"/>
        <v>0</v>
      </c>
      <c r="DV509" s="3">
        <f t="shared" si="468"/>
        <v>0</v>
      </c>
      <c r="DW509" s="3">
        <f t="shared" si="468"/>
        <v>0</v>
      </c>
      <c r="DX509" s="3">
        <f t="shared" si="468"/>
        <v>0</v>
      </c>
      <c r="DY509" s="3">
        <f t="shared" si="468"/>
        <v>0</v>
      </c>
      <c r="DZ509" s="3">
        <f t="shared" si="468"/>
        <v>0</v>
      </c>
      <c r="EA509" s="3">
        <f t="shared" si="468"/>
        <v>0</v>
      </c>
      <c r="EB509" s="3">
        <f t="shared" si="468"/>
        <v>0</v>
      </c>
      <c r="EC509" s="3">
        <f t="shared" si="468"/>
        <v>0</v>
      </c>
      <c r="ED509" s="3">
        <f t="shared" si="468"/>
        <v>0</v>
      </c>
      <c r="EE509" s="3">
        <f t="shared" si="468"/>
        <v>0</v>
      </c>
      <c r="EF509" s="3">
        <f t="shared" si="468"/>
        <v>0</v>
      </c>
      <c r="EG509" s="3">
        <f t="shared" si="468"/>
        <v>0</v>
      </c>
      <c r="EH509" s="3">
        <f t="shared" si="468"/>
        <v>0</v>
      </c>
      <c r="EI509" s="3">
        <f t="shared" si="468"/>
        <v>0</v>
      </c>
      <c r="EJ509" s="3">
        <f t="shared" si="468"/>
        <v>0</v>
      </c>
      <c r="EK509" s="3">
        <f t="shared" si="468"/>
        <v>0</v>
      </c>
      <c r="EL509" s="3">
        <f t="shared" si="468"/>
        <v>0</v>
      </c>
      <c r="EM509" s="3">
        <f t="shared" ref="EM509:FR509" si="469">EM534</f>
        <v>0</v>
      </c>
      <c r="EN509" s="3">
        <f t="shared" si="469"/>
        <v>0</v>
      </c>
      <c r="EO509" s="3">
        <f t="shared" si="469"/>
        <v>0</v>
      </c>
      <c r="EP509" s="3">
        <f t="shared" si="469"/>
        <v>0</v>
      </c>
      <c r="EQ509" s="3">
        <f t="shared" si="469"/>
        <v>0</v>
      </c>
      <c r="ER509" s="3">
        <f t="shared" si="469"/>
        <v>0</v>
      </c>
      <c r="ES509" s="3">
        <f t="shared" si="469"/>
        <v>0</v>
      </c>
      <c r="ET509" s="3">
        <f t="shared" si="469"/>
        <v>0</v>
      </c>
      <c r="EU509" s="3">
        <f t="shared" si="469"/>
        <v>0</v>
      </c>
      <c r="EV509" s="3">
        <f t="shared" si="469"/>
        <v>0</v>
      </c>
      <c r="EW509" s="3">
        <f t="shared" si="469"/>
        <v>0</v>
      </c>
      <c r="EX509" s="3">
        <f t="shared" si="469"/>
        <v>0</v>
      </c>
      <c r="EY509" s="3">
        <f t="shared" si="469"/>
        <v>0</v>
      </c>
      <c r="EZ509" s="3">
        <f t="shared" si="469"/>
        <v>0</v>
      </c>
      <c r="FA509" s="3">
        <f t="shared" si="469"/>
        <v>0</v>
      </c>
      <c r="FB509" s="3">
        <f t="shared" si="469"/>
        <v>0</v>
      </c>
      <c r="FC509" s="3">
        <f t="shared" si="469"/>
        <v>0</v>
      </c>
      <c r="FD509" s="3">
        <f t="shared" si="469"/>
        <v>0</v>
      </c>
      <c r="FE509" s="3">
        <f t="shared" si="469"/>
        <v>0</v>
      </c>
      <c r="FF509" s="3">
        <f t="shared" si="469"/>
        <v>0</v>
      </c>
      <c r="FG509" s="3">
        <f t="shared" si="469"/>
        <v>0</v>
      </c>
      <c r="FH509" s="3">
        <f t="shared" si="469"/>
        <v>0</v>
      </c>
      <c r="FI509" s="3">
        <f t="shared" si="469"/>
        <v>0</v>
      </c>
      <c r="FJ509" s="3">
        <f t="shared" si="469"/>
        <v>0</v>
      </c>
      <c r="FK509" s="3">
        <f t="shared" si="469"/>
        <v>0</v>
      </c>
      <c r="FL509" s="3">
        <f t="shared" si="469"/>
        <v>0</v>
      </c>
      <c r="FM509" s="3">
        <f t="shared" si="469"/>
        <v>0</v>
      </c>
      <c r="FN509" s="3">
        <f t="shared" si="469"/>
        <v>0</v>
      </c>
      <c r="FO509" s="3">
        <f t="shared" si="469"/>
        <v>0</v>
      </c>
      <c r="FP509" s="3">
        <f t="shared" si="469"/>
        <v>0</v>
      </c>
      <c r="FQ509" s="3">
        <f t="shared" si="469"/>
        <v>0</v>
      </c>
      <c r="FR509" s="3">
        <f t="shared" si="469"/>
        <v>0</v>
      </c>
      <c r="FS509" s="3">
        <f t="shared" ref="FS509:GX509" si="470">FS534</f>
        <v>0</v>
      </c>
      <c r="FT509" s="3">
        <f t="shared" si="470"/>
        <v>0</v>
      </c>
      <c r="FU509" s="3">
        <f t="shared" si="470"/>
        <v>0</v>
      </c>
      <c r="FV509" s="3">
        <f t="shared" si="470"/>
        <v>0</v>
      </c>
      <c r="FW509" s="3">
        <f t="shared" si="470"/>
        <v>0</v>
      </c>
      <c r="FX509" s="3">
        <f t="shared" si="470"/>
        <v>0</v>
      </c>
      <c r="FY509" s="3">
        <f t="shared" si="470"/>
        <v>0</v>
      </c>
      <c r="FZ509" s="3">
        <f t="shared" si="470"/>
        <v>0</v>
      </c>
      <c r="GA509" s="3">
        <f t="shared" si="470"/>
        <v>0</v>
      </c>
      <c r="GB509" s="3">
        <f t="shared" si="470"/>
        <v>0</v>
      </c>
      <c r="GC509" s="3">
        <f t="shared" si="470"/>
        <v>0</v>
      </c>
      <c r="GD509" s="3">
        <f t="shared" si="470"/>
        <v>0</v>
      </c>
      <c r="GE509" s="3">
        <f t="shared" si="470"/>
        <v>0</v>
      </c>
      <c r="GF509" s="3">
        <f t="shared" si="470"/>
        <v>0</v>
      </c>
      <c r="GG509" s="3">
        <f t="shared" si="470"/>
        <v>0</v>
      </c>
      <c r="GH509" s="3">
        <f t="shared" si="470"/>
        <v>0</v>
      </c>
      <c r="GI509" s="3">
        <f t="shared" si="470"/>
        <v>0</v>
      </c>
      <c r="GJ509" s="3">
        <f t="shared" si="470"/>
        <v>0</v>
      </c>
      <c r="GK509" s="3">
        <f t="shared" si="470"/>
        <v>0</v>
      </c>
      <c r="GL509" s="3">
        <f t="shared" si="470"/>
        <v>0</v>
      </c>
      <c r="GM509" s="3">
        <f t="shared" si="470"/>
        <v>0</v>
      </c>
      <c r="GN509" s="3">
        <f t="shared" si="470"/>
        <v>0</v>
      </c>
      <c r="GO509" s="3">
        <f t="shared" si="470"/>
        <v>0</v>
      </c>
      <c r="GP509" s="3">
        <f t="shared" si="470"/>
        <v>0</v>
      </c>
      <c r="GQ509" s="3">
        <f t="shared" si="470"/>
        <v>0</v>
      </c>
      <c r="GR509" s="3">
        <f t="shared" si="470"/>
        <v>0</v>
      </c>
      <c r="GS509" s="3">
        <f t="shared" si="470"/>
        <v>0</v>
      </c>
      <c r="GT509" s="3">
        <f t="shared" si="470"/>
        <v>0</v>
      </c>
      <c r="GU509" s="3">
        <f t="shared" si="470"/>
        <v>0</v>
      </c>
      <c r="GV509" s="3">
        <f t="shared" si="470"/>
        <v>0</v>
      </c>
      <c r="GW509" s="3">
        <f t="shared" si="470"/>
        <v>0</v>
      </c>
      <c r="GX509" s="3">
        <f t="shared" si="470"/>
        <v>0</v>
      </c>
    </row>
    <row r="511" spans="1:245" x14ac:dyDescent="0.2">
      <c r="A511">
        <v>17</v>
      </c>
      <c r="B511">
        <v>1</v>
      </c>
      <c r="D511">
        <f>ROW(EtalonRes!A273)</f>
        <v>273</v>
      </c>
      <c r="E511" t="s">
        <v>3</v>
      </c>
      <c r="F511" t="s">
        <v>43</v>
      </c>
      <c r="G511" t="s">
        <v>44</v>
      </c>
      <c r="H511" t="s">
        <v>31</v>
      </c>
      <c r="I511">
        <f>ROUND((10)*1/10,9)</f>
        <v>1</v>
      </c>
      <c r="J511">
        <v>0</v>
      </c>
      <c r="K511">
        <f>ROUND((10)*1/10,9)</f>
        <v>1</v>
      </c>
      <c r="O511">
        <f t="shared" ref="O511:O532" si="471">ROUND(CP511,2)</f>
        <v>13226.68</v>
      </c>
      <c r="P511">
        <f t="shared" ref="P511:P532" si="472">ROUND(CQ511*I511,2)</f>
        <v>0</v>
      </c>
      <c r="Q511">
        <f t="shared" ref="Q511:Q532" si="473">ROUND(CR511*I511,2)</f>
        <v>0</v>
      </c>
      <c r="R511">
        <f t="shared" ref="R511:R532" si="474">ROUND(CS511*I511,2)</f>
        <v>0</v>
      </c>
      <c r="S511">
        <f t="shared" ref="S511:S532" si="475">ROUND(CT511*I511,2)</f>
        <v>13226.68</v>
      </c>
      <c r="T511">
        <f t="shared" ref="T511:T532" si="476">ROUND(CU511*I511,2)</f>
        <v>0</v>
      </c>
      <c r="U511">
        <f t="shared" ref="U511:U532" si="477">CV511*I511</f>
        <v>21.42</v>
      </c>
      <c r="V511">
        <f t="shared" ref="V511:V532" si="478">CW511*I511</f>
        <v>0</v>
      </c>
      <c r="W511">
        <f t="shared" ref="W511:W532" si="479">ROUND(CX511*I511,2)</f>
        <v>0</v>
      </c>
      <c r="X511">
        <f t="shared" ref="X511:X532" si="480">ROUND(CY511,2)</f>
        <v>9258.68</v>
      </c>
      <c r="Y511">
        <f t="shared" ref="Y511:Y532" si="481">ROUND(CZ511,2)</f>
        <v>1322.67</v>
      </c>
      <c r="AA511">
        <v>-1</v>
      </c>
      <c r="AB511">
        <f t="shared" ref="AB511:AB532" si="482">ROUND((AC511+AD511+AF511),6)</f>
        <v>13226.68</v>
      </c>
      <c r="AC511">
        <f>ROUND(((ES511*17)),6)</f>
        <v>0</v>
      </c>
      <c r="AD511">
        <f>ROUND(((((ET511*17))-((EU511*17)))+AE511),6)</f>
        <v>0</v>
      </c>
      <c r="AE511">
        <f>ROUND(((EU511*17)),6)</f>
        <v>0</v>
      </c>
      <c r="AF511">
        <f>ROUND(((EV511*17)),6)</f>
        <v>13226.68</v>
      </c>
      <c r="AG511">
        <f t="shared" ref="AG511:AG532" si="483">ROUND((AP511),6)</f>
        <v>0</v>
      </c>
      <c r="AH511">
        <f>((EW511*17))</f>
        <v>21.42</v>
      </c>
      <c r="AI511">
        <f>((EX511*17))</f>
        <v>0</v>
      </c>
      <c r="AJ511">
        <f t="shared" ref="AJ511:AJ532" si="484">(AS511)</f>
        <v>0</v>
      </c>
      <c r="AK511">
        <v>778.04</v>
      </c>
      <c r="AL511">
        <v>0</v>
      </c>
      <c r="AM511">
        <v>0</v>
      </c>
      <c r="AN511">
        <v>0</v>
      </c>
      <c r="AO511">
        <v>778.04</v>
      </c>
      <c r="AP511">
        <v>0</v>
      </c>
      <c r="AQ511">
        <v>1.26</v>
      </c>
      <c r="AR511">
        <v>0</v>
      </c>
      <c r="AS511">
        <v>0</v>
      </c>
      <c r="AT511">
        <v>70</v>
      </c>
      <c r="AU511">
        <v>10</v>
      </c>
      <c r="AV511">
        <v>1</v>
      </c>
      <c r="AW511">
        <v>1</v>
      </c>
      <c r="AZ511">
        <v>1</v>
      </c>
      <c r="BA511">
        <v>1</v>
      </c>
      <c r="BB511">
        <v>1</v>
      </c>
      <c r="BC511">
        <v>1</v>
      </c>
      <c r="BD511" t="s">
        <v>3</v>
      </c>
      <c r="BE511" t="s">
        <v>3</v>
      </c>
      <c r="BF511" t="s">
        <v>3</v>
      </c>
      <c r="BG511" t="s">
        <v>3</v>
      </c>
      <c r="BH511">
        <v>0</v>
      </c>
      <c r="BI511">
        <v>4</v>
      </c>
      <c r="BJ511" t="s">
        <v>45</v>
      </c>
      <c r="BM511">
        <v>0</v>
      </c>
      <c r="BN511">
        <v>0</v>
      </c>
      <c r="BO511" t="s">
        <v>3</v>
      </c>
      <c r="BP511">
        <v>0</v>
      </c>
      <c r="BQ511">
        <v>1</v>
      </c>
      <c r="BR511">
        <v>0</v>
      </c>
      <c r="BS511">
        <v>1</v>
      </c>
      <c r="BT511">
        <v>1</v>
      </c>
      <c r="BU511">
        <v>1</v>
      </c>
      <c r="BV511">
        <v>1</v>
      </c>
      <c r="BW511">
        <v>1</v>
      </c>
      <c r="BX511">
        <v>1</v>
      </c>
      <c r="BY511" t="s">
        <v>3</v>
      </c>
      <c r="BZ511">
        <v>70</v>
      </c>
      <c r="CA511">
        <v>10</v>
      </c>
      <c r="CB511" t="s">
        <v>3</v>
      </c>
      <c r="CE511">
        <v>0</v>
      </c>
      <c r="CF511">
        <v>0</v>
      </c>
      <c r="CG511">
        <v>0</v>
      </c>
      <c r="CM511">
        <v>0</v>
      </c>
      <c r="CN511" t="s">
        <v>3</v>
      </c>
      <c r="CO511">
        <v>0</v>
      </c>
      <c r="CP511">
        <f t="shared" ref="CP511:CP532" si="485">(P511+Q511+S511)</f>
        <v>13226.68</v>
      </c>
      <c r="CQ511">
        <f t="shared" ref="CQ511:CQ532" si="486">(AC511*BC511*AW511)</f>
        <v>0</v>
      </c>
      <c r="CR511">
        <f>(((((ET511*17))*BB511-((EU511*17))*BS511)+AE511*BS511)*AV511)</f>
        <v>0</v>
      </c>
      <c r="CS511">
        <f t="shared" ref="CS511:CS532" si="487">(AE511*BS511*AV511)</f>
        <v>0</v>
      </c>
      <c r="CT511">
        <f t="shared" ref="CT511:CT532" si="488">(AF511*BA511*AV511)</f>
        <v>13226.68</v>
      </c>
      <c r="CU511">
        <f t="shared" ref="CU511:CU532" si="489">AG511</f>
        <v>0</v>
      </c>
      <c r="CV511">
        <f t="shared" ref="CV511:CV532" si="490">(AH511*AV511)</f>
        <v>21.42</v>
      </c>
      <c r="CW511">
        <f t="shared" ref="CW511:CW532" si="491">AI511</f>
        <v>0</v>
      </c>
      <c r="CX511">
        <f t="shared" ref="CX511:CX532" si="492">AJ511</f>
        <v>0</v>
      </c>
      <c r="CY511">
        <f t="shared" ref="CY511:CY532" si="493">((S511*BZ511)/100)</f>
        <v>9258.6759999999995</v>
      </c>
      <c r="CZ511">
        <f t="shared" ref="CZ511:CZ532" si="494">((S511*CA511)/100)</f>
        <v>1322.6679999999999</v>
      </c>
      <c r="DC511" t="s">
        <v>3</v>
      </c>
      <c r="DD511" t="s">
        <v>46</v>
      </c>
      <c r="DE511" t="s">
        <v>46</v>
      </c>
      <c r="DF511" t="s">
        <v>46</v>
      </c>
      <c r="DG511" t="s">
        <v>46</v>
      </c>
      <c r="DH511" t="s">
        <v>3</v>
      </c>
      <c r="DI511" t="s">
        <v>46</v>
      </c>
      <c r="DJ511" t="s">
        <v>46</v>
      </c>
      <c r="DK511" t="s">
        <v>3</v>
      </c>
      <c r="DL511" t="s">
        <v>3</v>
      </c>
      <c r="DM511" t="s">
        <v>3</v>
      </c>
      <c r="DN511">
        <v>0</v>
      </c>
      <c r="DO511">
        <v>0</v>
      </c>
      <c r="DP511">
        <v>1</v>
      </c>
      <c r="DQ511">
        <v>1</v>
      </c>
      <c r="DU511">
        <v>16987630</v>
      </c>
      <c r="DV511" t="s">
        <v>31</v>
      </c>
      <c r="DW511" t="s">
        <v>31</v>
      </c>
      <c r="DX511">
        <v>10</v>
      </c>
      <c r="DZ511" t="s">
        <v>3</v>
      </c>
      <c r="EA511" t="s">
        <v>3</v>
      </c>
      <c r="EB511" t="s">
        <v>3</v>
      </c>
      <c r="EC511" t="s">
        <v>3</v>
      </c>
      <c r="EE511">
        <v>1441815344</v>
      </c>
      <c r="EF511">
        <v>1</v>
      </c>
      <c r="EG511" t="s">
        <v>21</v>
      </c>
      <c r="EH511">
        <v>0</v>
      </c>
      <c r="EI511" t="s">
        <v>3</v>
      </c>
      <c r="EJ511">
        <v>4</v>
      </c>
      <c r="EK511">
        <v>0</v>
      </c>
      <c r="EL511" t="s">
        <v>22</v>
      </c>
      <c r="EM511" t="s">
        <v>23</v>
      </c>
      <c r="EO511" t="s">
        <v>3</v>
      </c>
      <c r="EQ511">
        <v>1024</v>
      </c>
      <c r="ER511">
        <v>778.04</v>
      </c>
      <c r="ES511">
        <v>0</v>
      </c>
      <c r="ET511">
        <v>0</v>
      </c>
      <c r="EU511">
        <v>0</v>
      </c>
      <c r="EV511">
        <v>778.04</v>
      </c>
      <c r="EW511">
        <v>1.26</v>
      </c>
      <c r="EX511">
        <v>0</v>
      </c>
      <c r="EY511">
        <v>0</v>
      </c>
      <c r="FQ511">
        <v>0</v>
      </c>
      <c r="FR511">
        <f t="shared" ref="FR511:FR532" si="495">ROUND(IF(BI511=3,GM511,0),2)</f>
        <v>0</v>
      </c>
      <c r="FS511">
        <v>0</v>
      </c>
      <c r="FX511">
        <v>70</v>
      </c>
      <c r="FY511">
        <v>10</v>
      </c>
      <c r="GA511" t="s">
        <v>3</v>
      </c>
      <c r="GD511">
        <v>0</v>
      </c>
      <c r="GF511">
        <v>1084928283</v>
      </c>
      <c r="GG511">
        <v>2</v>
      </c>
      <c r="GH511">
        <v>1</v>
      </c>
      <c r="GI511">
        <v>-2</v>
      </c>
      <c r="GJ511">
        <v>0</v>
      </c>
      <c r="GK511">
        <f>ROUND(R511*(R12)/100,2)</f>
        <v>0</v>
      </c>
      <c r="GL511">
        <f t="shared" ref="GL511:GL532" si="496">ROUND(IF(AND(BH511=3,BI511=3,FS511&lt;&gt;0),P511,0),2)</f>
        <v>0</v>
      </c>
      <c r="GM511">
        <f t="shared" ref="GM511:GM532" si="497">ROUND(O511+X511+Y511+GK511,2)+GX511</f>
        <v>23808.03</v>
      </c>
      <c r="GN511">
        <f t="shared" ref="GN511:GN532" si="498">IF(OR(BI511=0,BI511=1),GM511-GX511,0)</f>
        <v>0</v>
      </c>
      <c r="GO511">
        <f t="shared" ref="GO511:GO532" si="499">IF(BI511=2,GM511-GX511,0)</f>
        <v>0</v>
      </c>
      <c r="GP511">
        <f t="shared" ref="GP511:GP532" si="500">IF(BI511=4,GM511-GX511,0)</f>
        <v>23808.03</v>
      </c>
      <c r="GR511">
        <v>0</v>
      </c>
      <c r="GS511">
        <v>3</v>
      </c>
      <c r="GT511">
        <v>0</v>
      </c>
      <c r="GU511" t="s">
        <v>3</v>
      </c>
      <c r="GV511">
        <f t="shared" ref="GV511:GV532" si="501">ROUND((GT511),6)</f>
        <v>0</v>
      </c>
      <c r="GW511">
        <v>1</v>
      </c>
      <c r="GX511">
        <f t="shared" ref="GX511:GX532" si="502">ROUND(HC511*I511,2)</f>
        <v>0</v>
      </c>
      <c r="HA511">
        <v>0</v>
      </c>
      <c r="HB511">
        <v>0</v>
      </c>
      <c r="HC511">
        <f t="shared" ref="HC511:HC532" si="503">GV511*GW511</f>
        <v>0</v>
      </c>
      <c r="HE511" t="s">
        <v>3</v>
      </c>
      <c r="HF511" t="s">
        <v>3</v>
      </c>
      <c r="HM511" t="s">
        <v>3</v>
      </c>
      <c r="HN511" t="s">
        <v>3</v>
      </c>
      <c r="HO511" t="s">
        <v>3</v>
      </c>
      <c r="HP511" t="s">
        <v>3</v>
      </c>
      <c r="HQ511" t="s">
        <v>3</v>
      </c>
      <c r="IK511">
        <v>0</v>
      </c>
    </row>
    <row r="512" spans="1:245" x14ac:dyDescent="0.2">
      <c r="A512">
        <v>17</v>
      </c>
      <c r="B512">
        <v>1</v>
      </c>
      <c r="D512">
        <f>ROW(EtalonRes!A274)</f>
        <v>274</v>
      </c>
      <c r="E512" t="s">
        <v>3</v>
      </c>
      <c r="F512" t="s">
        <v>284</v>
      </c>
      <c r="G512" t="s">
        <v>285</v>
      </c>
      <c r="H512" t="s">
        <v>31</v>
      </c>
      <c r="I512">
        <f>ROUND(10*1/10,9)</f>
        <v>1</v>
      </c>
      <c r="J512">
        <v>0</v>
      </c>
      <c r="K512">
        <f>ROUND(10*1/10,9)</f>
        <v>1</v>
      </c>
      <c r="O512">
        <f t="shared" si="471"/>
        <v>2414.34</v>
      </c>
      <c r="P512">
        <f t="shared" si="472"/>
        <v>0</v>
      </c>
      <c r="Q512">
        <f t="shared" si="473"/>
        <v>0</v>
      </c>
      <c r="R512">
        <f t="shared" si="474"/>
        <v>0</v>
      </c>
      <c r="S512">
        <f t="shared" si="475"/>
        <v>2414.34</v>
      </c>
      <c r="T512">
        <f t="shared" si="476"/>
        <v>0</v>
      </c>
      <c r="U512">
        <f t="shared" si="477"/>
        <v>3.91</v>
      </c>
      <c r="V512">
        <f t="shared" si="478"/>
        <v>0</v>
      </c>
      <c r="W512">
        <f t="shared" si="479"/>
        <v>0</v>
      </c>
      <c r="X512">
        <f t="shared" si="480"/>
        <v>1690.04</v>
      </c>
      <c r="Y512">
        <f t="shared" si="481"/>
        <v>241.43</v>
      </c>
      <c r="AA512">
        <v>-1</v>
      </c>
      <c r="AB512">
        <f t="shared" si="482"/>
        <v>2414.34</v>
      </c>
      <c r="AC512">
        <f>ROUND(((ES512*17)),6)</f>
        <v>0</v>
      </c>
      <c r="AD512">
        <f>ROUND(((((ET512*17))-((EU512*17)))+AE512),6)</f>
        <v>0</v>
      </c>
      <c r="AE512">
        <f>ROUND(((EU512*17)),6)</f>
        <v>0</v>
      </c>
      <c r="AF512">
        <f>ROUND(((EV512*17)),6)</f>
        <v>2414.34</v>
      </c>
      <c r="AG512">
        <f t="shared" si="483"/>
        <v>0</v>
      </c>
      <c r="AH512">
        <f>((EW512*17))</f>
        <v>3.91</v>
      </c>
      <c r="AI512">
        <f>((EX512*17))</f>
        <v>0</v>
      </c>
      <c r="AJ512">
        <f t="shared" si="484"/>
        <v>0</v>
      </c>
      <c r="AK512">
        <v>142.02000000000001</v>
      </c>
      <c r="AL512">
        <v>0</v>
      </c>
      <c r="AM512">
        <v>0</v>
      </c>
      <c r="AN512">
        <v>0</v>
      </c>
      <c r="AO512">
        <v>142.02000000000001</v>
      </c>
      <c r="AP512">
        <v>0</v>
      </c>
      <c r="AQ512">
        <v>0.23</v>
      </c>
      <c r="AR512">
        <v>0</v>
      </c>
      <c r="AS512">
        <v>0</v>
      </c>
      <c r="AT512">
        <v>70</v>
      </c>
      <c r="AU512">
        <v>10</v>
      </c>
      <c r="AV512">
        <v>1</v>
      </c>
      <c r="AW512">
        <v>1</v>
      </c>
      <c r="AZ512">
        <v>1</v>
      </c>
      <c r="BA512">
        <v>1</v>
      </c>
      <c r="BB512">
        <v>1</v>
      </c>
      <c r="BC512">
        <v>1</v>
      </c>
      <c r="BD512" t="s">
        <v>3</v>
      </c>
      <c r="BE512" t="s">
        <v>3</v>
      </c>
      <c r="BF512" t="s">
        <v>3</v>
      </c>
      <c r="BG512" t="s">
        <v>3</v>
      </c>
      <c r="BH512">
        <v>0</v>
      </c>
      <c r="BI512">
        <v>4</v>
      </c>
      <c r="BJ512" t="s">
        <v>286</v>
      </c>
      <c r="BM512">
        <v>0</v>
      </c>
      <c r="BN512">
        <v>0</v>
      </c>
      <c r="BO512" t="s">
        <v>3</v>
      </c>
      <c r="BP512">
        <v>0</v>
      </c>
      <c r="BQ512">
        <v>1</v>
      </c>
      <c r="BR512">
        <v>0</v>
      </c>
      <c r="BS512">
        <v>1</v>
      </c>
      <c r="BT512">
        <v>1</v>
      </c>
      <c r="BU512">
        <v>1</v>
      </c>
      <c r="BV512">
        <v>1</v>
      </c>
      <c r="BW512">
        <v>1</v>
      </c>
      <c r="BX512">
        <v>1</v>
      </c>
      <c r="BY512" t="s">
        <v>3</v>
      </c>
      <c r="BZ512">
        <v>70</v>
      </c>
      <c r="CA512">
        <v>10</v>
      </c>
      <c r="CB512" t="s">
        <v>3</v>
      </c>
      <c r="CE512">
        <v>0</v>
      </c>
      <c r="CF512">
        <v>0</v>
      </c>
      <c r="CG512">
        <v>0</v>
      </c>
      <c r="CM512">
        <v>0</v>
      </c>
      <c r="CN512" t="s">
        <v>3</v>
      </c>
      <c r="CO512">
        <v>0</v>
      </c>
      <c r="CP512">
        <f t="shared" si="485"/>
        <v>2414.34</v>
      </c>
      <c r="CQ512">
        <f t="shared" si="486"/>
        <v>0</v>
      </c>
      <c r="CR512">
        <f>(((((ET512*17))*BB512-((EU512*17))*BS512)+AE512*BS512)*AV512)</f>
        <v>0</v>
      </c>
      <c r="CS512">
        <f t="shared" si="487"/>
        <v>0</v>
      </c>
      <c r="CT512">
        <f t="shared" si="488"/>
        <v>2414.34</v>
      </c>
      <c r="CU512">
        <f t="shared" si="489"/>
        <v>0</v>
      </c>
      <c r="CV512">
        <f t="shared" si="490"/>
        <v>3.91</v>
      </c>
      <c r="CW512">
        <f t="shared" si="491"/>
        <v>0</v>
      </c>
      <c r="CX512">
        <f t="shared" si="492"/>
        <v>0</v>
      </c>
      <c r="CY512">
        <f t="shared" si="493"/>
        <v>1690.0380000000002</v>
      </c>
      <c r="CZ512">
        <f t="shared" si="494"/>
        <v>241.43400000000003</v>
      </c>
      <c r="DC512" t="s">
        <v>3</v>
      </c>
      <c r="DD512" t="s">
        <v>46</v>
      </c>
      <c r="DE512" t="s">
        <v>46</v>
      </c>
      <c r="DF512" t="s">
        <v>46</v>
      </c>
      <c r="DG512" t="s">
        <v>46</v>
      </c>
      <c r="DH512" t="s">
        <v>3</v>
      </c>
      <c r="DI512" t="s">
        <v>46</v>
      </c>
      <c r="DJ512" t="s">
        <v>46</v>
      </c>
      <c r="DK512" t="s">
        <v>3</v>
      </c>
      <c r="DL512" t="s">
        <v>3</v>
      </c>
      <c r="DM512" t="s">
        <v>3</v>
      </c>
      <c r="DN512">
        <v>0</v>
      </c>
      <c r="DO512">
        <v>0</v>
      </c>
      <c r="DP512">
        <v>1</v>
      </c>
      <c r="DQ512">
        <v>1</v>
      </c>
      <c r="DU512">
        <v>16987630</v>
      </c>
      <c r="DV512" t="s">
        <v>31</v>
      </c>
      <c r="DW512" t="s">
        <v>31</v>
      </c>
      <c r="DX512">
        <v>10</v>
      </c>
      <c r="DZ512" t="s">
        <v>3</v>
      </c>
      <c r="EA512" t="s">
        <v>3</v>
      </c>
      <c r="EB512" t="s">
        <v>3</v>
      </c>
      <c r="EC512" t="s">
        <v>3</v>
      </c>
      <c r="EE512">
        <v>1441815344</v>
      </c>
      <c r="EF512">
        <v>1</v>
      </c>
      <c r="EG512" t="s">
        <v>21</v>
      </c>
      <c r="EH512">
        <v>0</v>
      </c>
      <c r="EI512" t="s">
        <v>3</v>
      </c>
      <c r="EJ512">
        <v>4</v>
      </c>
      <c r="EK512">
        <v>0</v>
      </c>
      <c r="EL512" t="s">
        <v>22</v>
      </c>
      <c r="EM512" t="s">
        <v>23</v>
      </c>
      <c r="EO512" t="s">
        <v>3</v>
      </c>
      <c r="EQ512">
        <v>1024</v>
      </c>
      <c r="ER512">
        <v>142.02000000000001</v>
      </c>
      <c r="ES512">
        <v>0</v>
      </c>
      <c r="ET512">
        <v>0</v>
      </c>
      <c r="EU512">
        <v>0</v>
      </c>
      <c r="EV512">
        <v>142.02000000000001</v>
      </c>
      <c r="EW512">
        <v>0.23</v>
      </c>
      <c r="EX512">
        <v>0</v>
      </c>
      <c r="EY512">
        <v>0</v>
      </c>
      <c r="FQ512">
        <v>0</v>
      </c>
      <c r="FR512">
        <f t="shared" si="495"/>
        <v>0</v>
      </c>
      <c r="FS512">
        <v>0</v>
      </c>
      <c r="FX512">
        <v>70</v>
      </c>
      <c r="FY512">
        <v>10</v>
      </c>
      <c r="GA512" t="s">
        <v>3</v>
      </c>
      <c r="GD512">
        <v>0</v>
      </c>
      <c r="GF512">
        <v>-1090760773</v>
      </c>
      <c r="GG512">
        <v>2</v>
      </c>
      <c r="GH512">
        <v>1</v>
      </c>
      <c r="GI512">
        <v>-2</v>
      </c>
      <c r="GJ512">
        <v>0</v>
      </c>
      <c r="GK512">
        <f>ROUND(R512*(R12)/100,2)</f>
        <v>0</v>
      </c>
      <c r="GL512">
        <f t="shared" si="496"/>
        <v>0</v>
      </c>
      <c r="GM512">
        <f t="shared" si="497"/>
        <v>4345.8100000000004</v>
      </c>
      <c r="GN512">
        <f t="shared" si="498"/>
        <v>0</v>
      </c>
      <c r="GO512">
        <f t="shared" si="499"/>
        <v>0</v>
      </c>
      <c r="GP512">
        <f t="shared" si="500"/>
        <v>4345.8100000000004</v>
      </c>
      <c r="GR512">
        <v>0</v>
      </c>
      <c r="GS512">
        <v>3</v>
      </c>
      <c r="GT512">
        <v>0</v>
      </c>
      <c r="GU512" t="s">
        <v>3</v>
      </c>
      <c r="GV512">
        <f t="shared" si="501"/>
        <v>0</v>
      </c>
      <c r="GW512">
        <v>1</v>
      </c>
      <c r="GX512">
        <f t="shared" si="502"/>
        <v>0</v>
      </c>
      <c r="HA512">
        <v>0</v>
      </c>
      <c r="HB512">
        <v>0</v>
      </c>
      <c r="HC512">
        <f t="shared" si="503"/>
        <v>0</v>
      </c>
      <c r="HE512" t="s">
        <v>3</v>
      </c>
      <c r="HF512" t="s">
        <v>3</v>
      </c>
      <c r="HM512" t="s">
        <v>3</v>
      </c>
      <c r="HN512" t="s">
        <v>3</v>
      </c>
      <c r="HO512" t="s">
        <v>3</v>
      </c>
      <c r="HP512" t="s">
        <v>3</v>
      </c>
      <c r="HQ512" t="s">
        <v>3</v>
      </c>
      <c r="IK512">
        <v>0</v>
      </c>
    </row>
    <row r="513" spans="1:245" x14ac:dyDescent="0.2">
      <c r="A513">
        <v>17</v>
      </c>
      <c r="B513">
        <v>1</v>
      </c>
      <c r="D513">
        <f>ROW(EtalonRes!A279)</f>
        <v>279</v>
      </c>
      <c r="E513" t="s">
        <v>358</v>
      </c>
      <c r="F513" t="s">
        <v>51</v>
      </c>
      <c r="G513" t="s">
        <v>52</v>
      </c>
      <c r="H513" t="s">
        <v>53</v>
      </c>
      <c r="I513">
        <f>ROUND((10)*1/100,9)</f>
        <v>0.1</v>
      </c>
      <c r="J513">
        <v>0</v>
      </c>
      <c r="K513">
        <f>ROUND((10)*1/100,9)</f>
        <v>0.1</v>
      </c>
      <c r="O513">
        <f t="shared" si="471"/>
        <v>5377.38</v>
      </c>
      <c r="P513">
        <f t="shared" si="472"/>
        <v>77.66</v>
      </c>
      <c r="Q513">
        <f t="shared" si="473"/>
        <v>6.18</v>
      </c>
      <c r="R513">
        <f t="shared" si="474"/>
        <v>7.0000000000000007E-2</v>
      </c>
      <c r="S513">
        <f t="shared" si="475"/>
        <v>5293.54</v>
      </c>
      <c r="T513">
        <f t="shared" si="476"/>
        <v>0</v>
      </c>
      <c r="U513">
        <f t="shared" si="477"/>
        <v>10.444000000000001</v>
      </c>
      <c r="V513">
        <f t="shared" si="478"/>
        <v>0</v>
      </c>
      <c r="W513">
        <f t="shared" si="479"/>
        <v>0</v>
      </c>
      <c r="X513">
        <f t="shared" si="480"/>
        <v>3705.48</v>
      </c>
      <c r="Y513">
        <f t="shared" si="481"/>
        <v>529.35</v>
      </c>
      <c r="AA513">
        <v>1471718271</v>
      </c>
      <c r="AB513">
        <f t="shared" si="482"/>
        <v>53773.79</v>
      </c>
      <c r="AC513">
        <f>ROUND((ES513),6)</f>
        <v>776.55</v>
      </c>
      <c r="AD513">
        <f>ROUND((((ET513)-(EU513))+AE513),6)</f>
        <v>61.83</v>
      </c>
      <c r="AE513">
        <f t="shared" ref="AE513:AF515" si="504">ROUND((EU513),6)</f>
        <v>0.7</v>
      </c>
      <c r="AF513">
        <f t="shared" si="504"/>
        <v>52935.41</v>
      </c>
      <c r="AG513">
        <f t="shared" si="483"/>
        <v>0</v>
      </c>
      <c r="AH513">
        <f t="shared" ref="AH513:AI515" si="505">(EW513)</f>
        <v>104.44</v>
      </c>
      <c r="AI513">
        <f t="shared" si="505"/>
        <v>0</v>
      </c>
      <c r="AJ513">
        <f t="shared" si="484"/>
        <v>0</v>
      </c>
      <c r="AK513">
        <v>53773.79</v>
      </c>
      <c r="AL513">
        <v>776.55</v>
      </c>
      <c r="AM513">
        <v>61.83</v>
      </c>
      <c r="AN513">
        <v>0.7</v>
      </c>
      <c r="AO513">
        <v>52935.41</v>
      </c>
      <c r="AP513">
        <v>0</v>
      </c>
      <c r="AQ513">
        <v>104.44</v>
      </c>
      <c r="AR513">
        <v>0</v>
      </c>
      <c r="AS513">
        <v>0</v>
      </c>
      <c r="AT513">
        <v>70</v>
      </c>
      <c r="AU513">
        <v>10</v>
      </c>
      <c r="AV513">
        <v>1</v>
      </c>
      <c r="AW513">
        <v>1</v>
      </c>
      <c r="AZ513">
        <v>1</v>
      </c>
      <c r="BA513">
        <v>1</v>
      </c>
      <c r="BB513">
        <v>1</v>
      </c>
      <c r="BC513">
        <v>1</v>
      </c>
      <c r="BD513" t="s">
        <v>3</v>
      </c>
      <c r="BE513" t="s">
        <v>3</v>
      </c>
      <c r="BF513" t="s">
        <v>3</v>
      </c>
      <c r="BG513" t="s">
        <v>3</v>
      </c>
      <c r="BH513">
        <v>0</v>
      </c>
      <c r="BI513">
        <v>4</v>
      </c>
      <c r="BJ513" t="s">
        <v>54</v>
      </c>
      <c r="BM513">
        <v>0</v>
      </c>
      <c r="BN513">
        <v>0</v>
      </c>
      <c r="BO513" t="s">
        <v>3</v>
      </c>
      <c r="BP513">
        <v>0</v>
      </c>
      <c r="BQ513">
        <v>1</v>
      </c>
      <c r="BR513">
        <v>0</v>
      </c>
      <c r="BS513">
        <v>1</v>
      </c>
      <c r="BT513">
        <v>1</v>
      </c>
      <c r="BU513">
        <v>1</v>
      </c>
      <c r="BV513">
        <v>1</v>
      </c>
      <c r="BW513">
        <v>1</v>
      </c>
      <c r="BX513">
        <v>1</v>
      </c>
      <c r="BY513" t="s">
        <v>3</v>
      </c>
      <c r="BZ513">
        <v>70</v>
      </c>
      <c r="CA513">
        <v>10</v>
      </c>
      <c r="CB513" t="s">
        <v>3</v>
      </c>
      <c r="CE513">
        <v>0</v>
      </c>
      <c r="CF513">
        <v>0</v>
      </c>
      <c r="CG513">
        <v>0</v>
      </c>
      <c r="CM513">
        <v>0</v>
      </c>
      <c r="CN513" t="s">
        <v>3</v>
      </c>
      <c r="CO513">
        <v>0</v>
      </c>
      <c r="CP513">
        <f t="shared" si="485"/>
        <v>5377.38</v>
      </c>
      <c r="CQ513">
        <f t="shared" si="486"/>
        <v>776.55</v>
      </c>
      <c r="CR513">
        <f>((((ET513)*BB513-(EU513)*BS513)+AE513*BS513)*AV513)</f>
        <v>61.83</v>
      </c>
      <c r="CS513">
        <f t="shared" si="487"/>
        <v>0.7</v>
      </c>
      <c r="CT513">
        <f t="shared" si="488"/>
        <v>52935.41</v>
      </c>
      <c r="CU513">
        <f t="shared" si="489"/>
        <v>0</v>
      </c>
      <c r="CV513">
        <f t="shared" si="490"/>
        <v>104.44</v>
      </c>
      <c r="CW513">
        <f t="shared" si="491"/>
        <v>0</v>
      </c>
      <c r="CX513">
        <f t="shared" si="492"/>
        <v>0</v>
      </c>
      <c r="CY513">
        <f t="shared" si="493"/>
        <v>3705.4780000000001</v>
      </c>
      <c r="CZ513">
        <f t="shared" si="494"/>
        <v>529.35400000000004</v>
      </c>
      <c r="DC513" t="s">
        <v>3</v>
      </c>
      <c r="DD513" t="s">
        <v>3</v>
      </c>
      <c r="DE513" t="s">
        <v>3</v>
      </c>
      <c r="DF513" t="s">
        <v>3</v>
      </c>
      <c r="DG513" t="s">
        <v>3</v>
      </c>
      <c r="DH513" t="s">
        <v>3</v>
      </c>
      <c r="DI513" t="s">
        <v>3</v>
      </c>
      <c r="DJ513" t="s">
        <v>3</v>
      </c>
      <c r="DK513" t="s">
        <v>3</v>
      </c>
      <c r="DL513" t="s">
        <v>3</v>
      </c>
      <c r="DM513" t="s">
        <v>3</v>
      </c>
      <c r="DN513">
        <v>0</v>
      </c>
      <c r="DO513">
        <v>0</v>
      </c>
      <c r="DP513">
        <v>1</v>
      </c>
      <c r="DQ513">
        <v>1</v>
      </c>
      <c r="DU513">
        <v>16987630</v>
      </c>
      <c r="DV513" t="s">
        <v>53</v>
      </c>
      <c r="DW513" t="s">
        <v>53</v>
      </c>
      <c r="DX513">
        <v>100</v>
      </c>
      <c r="DZ513" t="s">
        <v>3</v>
      </c>
      <c r="EA513" t="s">
        <v>3</v>
      </c>
      <c r="EB513" t="s">
        <v>3</v>
      </c>
      <c r="EC513" t="s">
        <v>3</v>
      </c>
      <c r="EE513">
        <v>1441815344</v>
      </c>
      <c r="EF513">
        <v>1</v>
      </c>
      <c r="EG513" t="s">
        <v>21</v>
      </c>
      <c r="EH513">
        <v>0</v>
      </c>
      <c r="EI513" t="s">
        <v>3</v>
      </c>
      <c r="EJ513">
        <v>4</v>
      </c>
      <c r="EK513">
        <v>0</v>
      </c>
      <c r="EL513" t="s">
        <v>22</v>
      </c>
      <c r="EM513" t="s">
        <v>23</v>
      </c>
      <c r="EO513" t="s">
        <v>3</v>
      </c>
      <c r="EQ513">
        <v>0</v>
      </c>
      <c r="ER513">
        <v>53773.79</v>
      </c>
      <c r="ES513">
        <v>776.55</v>
      </c>
      <c r="ET513">
        <v>61.83</v>
      </c>
      <c r="EU513">
        <v>0.7</v>
      </c>
      <c r="EV513">
        <v>52935.41</v>
      </c>
      <c r="EW513">
        <v>104.44</v>
      </c>
      <c r="EX513">
        <v>0</v>
      </c>
      <c r="EY513">
        <v>0</v>
      </c>
      <c r="FQ513">
        <v>0</v>
      </c>
      <c r="FR513">
        <f t="shared" si="495"/>
        <v>0</v>
      </c>
      <c r="FS513">
        <v>0</v>
      </c>
      <c r="FX513">
        <v>70</v>
      </c>
      <c r="FY513">
        <v>10</v>
      </c>
      <c r="GA513" t="s">
        <v>3</v>
      </c>
      <c r="GD513">
        <v>0</v>
      </c>
      <c r="GF513">
        <v>-36092940</v>
      </c>
      <c r="GG513">
        <v>2</v>
      </c>
      <c r="GH513">
        <v>1</v>
      </c>
      <c r="GI513">
        <v>-2</v>
      </c>
      <c r="GJ513">
        <v>0</v>
      </c>
      <c r="GK513">
        <f>ROUND(R513*(R12)/100,2)</f>
        <v>0.08</v>
      </c>
      <c r="GL513">
        <f t="shared" si="496"/>
        <v>0</v>
      </c>
      <c r="GM513">
        <f t="shared" si="497"/>
        <v>9612.2900000000009</v>
      </c>
      <c r="GN513">
        <f t="shared" si="498"/>
        <v>0</v>
      </c>
      <c r="GO513">
        <f t="shared" si="499"/>
        <v>0</v>
      </c>
      <c r="GP513">
        <f t="shared" si="500"/>
        <v>9612.2900000000009</v>
      </c>
      <c r="GR513">
        <v>0</v>
      </c>
      <c r="GS513">
        <v>3</v>
      </c>
      <c r="GT513">
        <v>0</v>
      </c>
      <c r="GU513" t="s">
        <v>3</v>
      </c>
      <c r="GV513">
        <f t="shared" si="501"/>
        <v>0</v>
      </c>
      <c r="GW513">
        <v>1</v>
      </c>
      <c r="GX513">
        <f t="shared" si="502"/>
        <v>0</v>
      </c>
      <c r="HA513">
        <v>0</v>
      </c>
      <c r="HB513">
        <v>0</v>
      </c>
      <c r="HC513">
        <f t="shared" si="503"/>
        <v>0</v>
      </c>
      <c r="HE513" t="s">
        <v>3</v>
      </c>
      <c r="HF513" t="s">
        <v>3</v>
      </c>
      <c r="HM513" t="s">
        <v>3</v>
      </c>
      <c r="HN513" t="s">
        <v>3</v>
      </c>
      <c r="HO513" t="s">
        <v>3</v>
      </c>
      <c r="HP513" t="s">
        <v>3</v>
      </c>
      <c r="HQ513" t="s">
        <v>3</v>
      </c>
      <c r="IK513">
        <v>0</v>
      </c>
    </row>
    <row r="514" spans="1:245" x14ac:dyDescent="0.2">
      <c r="A514">
        <v>17</v>
      </c>
      <c r="B514">
        <v>1</v>
      </c>
      <c r="D514">
        <f>ROW(EtalonRes!A284)</f>
        <v>284</v>
      </c>
      <c r="E514" t="s">
        <v>359</v>
      </c>
      <c r="F514" t="s">
        <v>56</v>
      </c>
      <c r="G514" t="s">
        <v>57</v>
      </c>
      <c r="H514" t="s">
        <v>53</v>
      </c>
      <c r="I514">
        <f>ROUND((10)*1/100,9)</f>
        <v>0.1</v>
      </c>
      <c r="J514">
        <v>0</v>
      </c>
      <c r="K514">
        <f>ROUND((10)*1/100,9)</f>
        <v>0.1</v>
      </c>
      <c r="O514">
        <f t="shared" si="471"/>
        <v>7784.41</v>
      </c>
      <c r="P514">
        <f t="shared" si="472"/>
        <v>77.66</v>
      </c>
      <c r="Q514">
        <f t="shared" si="473"/>
        <v>6.18</v>
      </c>
      <c r="R514">
        <f t="shared" si="474"/>
        <v>7.0000000000000007E-2</v>
      </c>
      <c r="S514">
        <f t="shared" si="475"/>
        <v>7700.57</v>
      </c>
      <c r="T514">
        <f t="shared" si="476"/>
        <v>0</v>
      </c>
      <c r="U514">
        <f t="shared" si="477"/>
        <v>15.193000000000001</v>
      </c>
      <c r="V514">
        <f t="shared" si="478"/>
        <v>0</v>
      </c>
      <c r="W514">
        <f t="shared" si="479"/>
        <v>0</v>
      </c>
      <c r="X514">
        <f t="shared" si="480"/>
        <v>5390.4</v>
      </c>
      <c r="Y514">
        <f t="shared" si="481"/>
        <v>770.06</v>
      </c>
      <c r="AA514">
        <v>1471718271</v>
      </c>
      <c r="AB514">
        <f t="shared" si="482"/>
        <v>77844.100000000006</v>
      </c>
      <c r="AC514">
        <f>ROUND((ES514),6)</f>
        <v>776.55</v>
      </c>
      <c r="AD514">
        <f>ROUND((((ET514)-(EU514))+AE514),6)</f>
        <v>61.83</v>
      </c>
      <c r="AE514">
        <f t="shared" si="504"/>
        <v>0.7</v>
      </c>
      <c r="AF514">
        <f t="shared" si="504"/>
        <v>77005.72</v>
      </c>
      <c r="AG514">
        <f t="shared" si="483"/>
        <v>0</v>
      </c>
      <c r="AH514">
        <f t="shared" si="505"/>
        <v>151.93</v>
      </c>
      <c r="AI514">
        <f t="shared" si="505"/>
        <v>0</v>
      </c>
      <c r="AJ514">
        <f t="shared" si="484"/>
        <v>0</v>
      </c>
      <c r="AK514">
        <v>77844.100000000006</v>
      </c>
      <c r="AL514">
        <v>776.55</v>
      </c>
      <c r="AM514">
        <v>61.83</v>
      </c>
      <c r="AN514">
        <v>0.7</v>
      </c>
      <c r="AO514">
        <v>77005.72</v>
      </c>
      <c r="AP514">
        <v>0</v>
      </c>
      <c r="AQ514">
        <v>151.93</v>
      </c>
      <c r="AR514">
        <v>0</v>
      </c>
      <c r="AS514">
        <v>0</v>
      </c>
      <c r="AT514">
        <v>70</v>
      </c>
      <c r="AU514">
        <v>10</v>
      </c>
      <c r="AV514">
        <v>1</v>
      </c>
      <c r="AW514">
        <v>1</v>
      </c>
      <c r="AZ514">
        <v>1</v>
      </c>
      <c r="BA514">
        <v>1</v>
      </c>
      <c r="BB514">
        <v>1</v>
      </c>
      <c r="BC514">
        <v>1</v>
      </c>
      <c r="BD514" t="s">
        <v>3</v>
      </c>
      <c r="BE514" t="s">
        <v>3</v>
      </c>
      <c r="BF514" t="s">
        <v>3</v>
      </c>
      <c r="BG514" t="s">
        <v>3</v>
      </c>
      <c r="BH514">
        <v>0</v>
      </c>
      <c r="BI514">
        <v>4</v>
      </c>
      <c r="BJ514" t="s">
        <v>58</v>
      </c>
      <c r="BM514">
        <v>0</v>
      </c>
      <c r="BN514">
        <v>0</v>
      </c>
      <c r="BO514" t="s">
        <v>3</v>
      </c>
      <c r="BP514">
        <v>0</v>
      </c>
      <c r="BQ514">
        <v>1</v>
      </c>
      <c r="BR514">
        <v>0</v>
      </c>
      <c r="BS514">
        <v>1</v>
      </c>
      <c r="BT514">
        <v>1</v>
      </c>
      <c r="BU514">
        <v>1</v>
      </c>
      <c r="BV514">
        <v>1</v>
      </c>
      <c r="BW514">
        <v>1</v>
      </c>
      <c r="BX514">
        <v>1</v>
      </c>
      <c r="BY514" t="s">
        <v>3</v>
      </c>
      <c r="BZ514">
        <v>70</v>
      </c>
      <c r="CA514">
        <v>10</v>
      </c>
      <c r="CB514" t="s">
        <v>3</v>
      </c>
      <c r="CE514">
        <v>0</v>
      </c>
      <c r="CF514">
        <v>0</v>
      </c>
      <c r="CG514">
        <v>0</v>
      </c>
      <c r="CM514">
        <v>0</v>
      </c>
      <c r="CN514" t="s">
        <v>3</v>
      </c>
      <c r="CO514">
        <v>0</v>
      </c>
      <c r="CP514">
        <f t="shared" si="485"/>
        <v>7784.41</v>
      </c>
      <c r="CQ514">
        <f t="shared" si="486"/>
        <v>776.55</v>
      </c>
      <c r="CR514">
        <f>((((ET514)*BB514-(EU514)*BS514)+AE514*BS514)*AV514)</f>
        <v>61.83</v>
      </c>
      <c r="CS514">
        <f t="shared" si="487"/>
        <v>0.7</v>
      </c>
      <c r="CT514">
        <f t="shared" si="488"/>
        <v>77005.72</v>
      </c>
      <c r="CU514">
        <f t="shared" si="489"/>
        <v>0</v>
      </c>
      <c r="CV514">
        <f t="shared" si="490"/>
        <v>151.93</v>
      </c>
      <c r="CW514">
        <f t="shared" si="491"/>
        <v>0</v>
      </c>
      <c r="CX514">
        <f t="shared" si="492"/>
        <v>0</v>
      </c>
      <c r="CY514">
        <f t="shared" si="493"/>
        <v>5390.3990000000003</v>
      </c>
      <c r="CZ514">
        <f t="shared" si="494"/>
        <v>770.05700000000002</v>
      </c>
      <c r="DC514" t="s">
        <v>3</v>
      </c>
      <c r="DD514" t="s">
        <v>3</v>
      </c>
      <c r="DE514" t="s">
        <v>3</v>
      </c>
      <c r="DF514" t="s">
        <v>3</v>
      </c>
      <c r="DG514" t="s">
        <v>3</v>
      </c>
      <c r="DH514" t="s">
        <v>3</v>
      </c>
      <c r="DI514" t="s">
        <v>3</v>
      </c>
      <c r="DJ514" t="s">
        <v>3</v>
      </c>
      <c r="DK514" t="s">
        <v>3</v>
      </c>
      <c r="DL514" t="s">
        <v>3</v>
      </c>
      <c r="DM514" t="s">
        <v>3</v>
      </c>
      <c r="DN514">
        <v>0</v>
      </c>
      <c r="DO514">
        <v>0</v>
      </c>
      <c r="DP514">
        <v>1</v>
      </c>
      <c r="DQ514">
        <v>1</v>
      </c>
      <c r="DU514">
        <v>16987630</v>
      </c>
      <c r="DV514" t="s">
        <v>53</v>
      </c>
      <c r="DW514" t="s">
        <v>53</v>
      </c>
      <c r="DX514">
        <v>100</v>
      </c>
      <c r="DZ514" t="s">
        <v>3</v>
      </c>
      <c r="EA514" t="s">
        <v>3</v>
      </c>
      <c r="EB514" t="s">
        <v>3</v>
      </c>
      <c r="EC514" t="s">
        <v>3</v>
      </c>
      <c r="EE514">
        <v>1441815344</v>
      </c>
      <c r="EF514">
        <v>1</v>
      </c>
      <c r="EG514" t="s">
        <v>21</v>
      </c>
      <c r="EH514">
        <v>0</v>
      </c>
      <c r="EI514" t="s">
        <v>3</v>
      </c>
      <c r="EJ514">
        <v>4</v>
      </c>
      <c r="EK514">
        <v>0</v>
      </c>
      <c r="EL514" t="s">
        <v>22</v>
      </c>
      <c r="EM514" t="s">
        <v>23</v>
      </c>
      <c r="EO514" t="s">
        <v>3</v>
      </c>
      <c r="EQ514">
        <v>0</v>
      </c>
      <c r="ER514">
        <v>77844.100000000006</v>
      </c>
      <c r="ES514">
        <v>776.55</v>
      </c>
      <c r="ET514">
        <v>61.83</v>
      </c>
      <c r="EU514">
        <v>0.7</v>
      </c>
      <c r="EV514">
        <v>77005.72</v>
      </c>
      <c r="EW514">
        <v>151.93</v>
      </c>
      <c r="EX514">
        <v>0</v>
      </c>
      <c r="EY514">
        <v>0</v>
      </c>
      <c r="FQ514">
        <v>0</v>
      </c>
      <c r="FR514">
        <f t="shared" si="495"/>
        <v>0</v>
      </c>
      <c r="FS514">
        <v>0</v>
      </c>
      <c r="FX514">
        <v>70</v>
      </c>
      <c r="FY514">
        <v>10</v>
      </c>
      <c r="GA514" t="s">
        <v>3</v>
      </c>
      <c r="GD514">
        <v>0</v>
      </c>
      <c r="GF514">
        <v>1944845796</v>
      </c>
      <c r="GG514">
        <v>2</v>
      </c>
      <c r="GH514">
        <v>1</v>
      </c>
      <c r="GI514">
        <v>-2</v>
      </c>
      <c r="GJ514">
        <v>0</v>
      </c>
      <c r="GK514">
        <f>ROUND(R514*(R12)/100,2)</f>
        <v>0.08</v>
      </c>
      <c r="GL514">
        <f t="shared" si="496"/>
        <v>0</v>
      </c>
      <c r="GM514">
        <f t="shared" si="497"/>
        <v>13944.95</v>
      </c>
      <c r="GN514">
        <f t="shared" si="498"/>
        <v>0</v>
      </c>
      <c r="GO514">
        <f t="shared" si="499"/>
        <v>0</v>
      </c>
      <c r="GP514">
        <f t="shared" si="500"/>
        <v>13944.95</v>
      </c>
      <c r="GR514">
        <v>0</v>
      </c>
      <c r="GS514">
        <v>3</v>
      </c>
      <c r="GT514">
        <v>0</v>
      </c>
      <c r="GU514" t="s">
        <v>3</v>
      </c>
      <c r="GV514">
        <f t="shared" si="501"/>
        <v>0</v>
      </c>
      <c r="GW514">
        <v>1</v>
      </c>
      <c r="GX514">
        <f t="shared" si="502"/>
        <v>0</v>
      </c>
      <c r="HA514">
        <v>0</v>
      </c>
      <c r="HB514">
        <v>0</v>
      </c>
      <c r="HC514">
        <f t="shared" si="503"/>
        <v>0</v>
      </c>
      <c r="HE514" t="s">
        <v>3</v>
      </c>
      <c r="HF514" t="s">
        <v>3</v>
      </c>
      <c r="HM514" t="s">
        <v>3</v>
      </c>
      <c r="HN514" t="s">
        <v>3</v>
      </c>
      <c r="HO514" t="s">
        <v>3</v>
      </c>
      <c r="HP514" t="s">
        <v>3</v>
      </c>
      <c r="HQ514" t="s">
        <v>3</v>
      </c>
      <c r="IK514">
        <v>0</v>
      </c>
    </row>
    <row r="515" spans="1:245" x14ac:dyDescent="0.2">
      <c r="A515">
        <v>17</v>
      </c>
      <c r="B515">
        <v>1</v>
      </c>
      <c r="D515">
        <f>ROW(EtalonRes!A285)</f>
        <v>285</v>
      </c>
      <c r="E515" t="s">
        <v>360</v>
      </c>
      <c r="F515" t="s">
        <v>71</v>
      </c>
      <c r="G515" t="s">
        <v>72</v>
      </c>
      <c r="H515" t="s">
        <v>73</v>
      </c>
      <c r="I515">
        <f>ROUND(10*1/100,9)</f>
        <v>0.1</v>
      </c>
      <c r="J515">
        <v>0</v>
      </c>
      <c r="K515">
        <f>ROUND(10*1/100,9)</f>
        <v>0.1</v>
      </c>
      <c r="O515">
        <f t="shared" si="471"/>
        <v>1589.61</v>
      </c>
      <c r="P515">
        <f t="shared" si="472"/>
        <v>0</v>
      </c>
      <c r="Q515">
        <f t="shared" si="473"/>
        <v>0</v>
      </c>
      <c r="R515">
        <f t="shared" si="474"/>
        <v>0</v>
      </c>
      <c r="S515">
        <f t="shared" si="475"/>
        <v>1589.61</v>
      </c>
      <c r="T515">
        <f t="shared" si="476"/>
        <v>0</v>
      </c>
      <c r="U515">
        <f t="shared" si="477"/>
        <v>2.67</v>
      </c>
      <c r="V515">
        <f t="shared" si="478"/>
        <v>0</v>
      </c>
      <c r="W515">
        <f t="shared" si="479"/>
        <v>0</v>
      </c>
      <c r="X515">
        <f t="shared" si="480"/>
        <v>1112.73</v>
      </c>
      <c r="Y515">
        <f t="shared" si="481"/>
        <v>158.96</v>
      </c>
      <c r="AA515">
        <v>1471718271</v>
      </c>
      <c r="AB515">
        <f t="shared" si="482"/>
        <v>15896.11</v>
      </c>
      <c r="AC515">
        <f>ROUND((ES515),6)</f>
        <v>0</v>
      </c>
      <c r="AD515">
        <f>ROUND((((ET515)-(EU515))+AE515),6)</f>
        <v>0</v>
      </c>
      <c r="AE515">
        <f t="shared" si="504"/>
        <v>0</v>
      </c>
      <c r="AF515">
        <f t="shared" si="504"/>
        <v>15896.11</v>
      </c>
      <c r="AG515">
        <f t="shared" si="483"/>
        <v>0</v>
      </c>
      <c r="AH515">
        <f t="shared" si="505"/>
        <v>26.7</v>
      </c>
      <c r="AI515">
        <f t="shared" si="505"/>
        <v>0</v>
      </c>
      <c r="AJ515">
        <f t="shared" si="484"/>
        <v>0</v>
      </c>
      <c r="AK515">
        <v>15896.11</v>
      </c>
      <c r="AL515">
        <v>0</v>
      </c>
      <c r="AM515">
        <v>0</v>
      </c>
      <c r="AN515">
        <v>0</v>
      </c>
      <c r="AO515">
        <v>15896.11</v>
      </c>
      <c r="AP515">
        <v>0</v>
      </c>
      <c r="AQ515">
        <v>26.7</v>
      </c>
      <c r="AR515">
        <v>0</v>
      </c>
      <c r="AS515">
        <v>0</v>
      </c>
      <c r="AT515">
        <v>70</v>
      </c>
      <c r="AU515">
        <v>10</v>
      </c>
      <c r="AV515">
        <v>1</v>
      </c>
      <c r="AW515">
        <v>1</v>
      </c>
      <c r="AZ515">
        <v>1</v>
      </c>
      <c r="BA515">
        <v>1</v>
      </c>
      <c r="BB515">
        <v>1</v>
      </c>
      <c r="BC515">
        <v>1</v>
      </c>
      <c r="BD515" t="s">
        <v>3</v>
      </c>
      <c r="BE515" t="s">
        <v>3</v>
      </c>
      <c r="BF515" t="s">
        <v>3</v>
      </c>
      <c r="BG515" t="s">
        <v>3</v>
      </c>
      <c r="BH515">
        <v>0</v>
      </c>
      <c r="BI515">
        <v>4</v>
      </c>
      <c r="BJ515" t="s">
        <v>74</v>
      </c>
      <c r="BM515">
        <v>0</v>
      </c>
      <c r="BN515">
        <v>0</v>
      </c>
      <c r="BO515" t="s">
        <v>3</v>
      </c>
      <c r="BP515">
        <v>0</v>
      </c>
      <c r="BQ515">
        <v>1</v>
      </c>
      <c r="BR515">
        <v>0</v>
      </c>
      <c r="BS515">
        <v>1</v>
      </c>
      <c r="BT515">
        <v>1</v>
      </c>
      <c r="BU515">
        <v>1</v>
      </c>
      <c r="BV515">
        <v>1</v>
      </c>
      <c r="BW515">
        <v>1</v>
      </c>
      <c r="BX515">
        <v>1</v>
      </c>
      <c r="BY515" t="s">
        <v>3</v>
      </c>
      <c r="BZ515">
        <v>70</v>
      </c>
      <c r="CA515">
        <v>10</v>
      </c>
      <c r="CB515" t="s">
        <v>3</v>
      </c>
      <c r="CE515">
        <v>0</v>
      </c>
      <c r="CF515">
        <v>0</v>
      </c>
      <c r="CG515">
        <v>0</v>
      </c>
      <c r="CM515">
        <v>0</v>
      </c>
      <c r="CN515" t="s">
        <v>3</v>
      </c>
      <c r="CO515">
        <v>0</v>
      </c>
      <c r="CP515">
        <f t="shared" si="485"/>
        <v>1589.61</v>
      </c>
      <c r="CQ515">
        <f t="shared" si="486"/>
        <v>0</v>
      </c>
      <c r="CR515">
        <f>((((ET515)*BB515-(EU515)*BS515)+AE515*BS515)*AV515)</f>
        <v>0</v>
      </c>
      <c r="CS515">
        <f t="shared" si="487"/>
        <v>0</v>
      </c>
      <c r="CT515">
        <f t="shared" si="488"/>
        <v>15896.11</v>
      </c>
      <c r="CU515">
        <f t="shared" si="489"/>
        <v>0</v>
      </c>
      <c r="CV515">
        <f t="shared" si="490"/>
        <v>26.7</v>
      </c>
      <c r="CW515">
        <f t="shared" si="491"/>
        <v>0</v>
      </c>
      <c r="CX515">
        <f t="shared" si="492"/>
        <v>0</v>
      </c>
      <c r="CY515">
        <f t="shared" si="493"/>
        <v>1112.7269999999999</v>
      </c>
      <c r="CZ515">
        <f t="shared" si="494"/>
        <v>158.96099999999998</v>
      </c>
      <c r="DC515" t="s">
        <v>3</v>
      </c>
      <c r="DD515" t="s">
        <v>3</v>
      </c>
      <c r="DE515" t="s">
        <v>3</v>
      </c>
      <c r="DF515" t="s">
        <v>3</v>
      </c>
      <c r="DG515" t="s">
        <v>3</v>
      </c>
      <c r="DH515" t="s">
        <v>3</v>
      </c>
      <c r="DI515" t="s">
        <v>3</v>
      </c>
      <c r="DJ515" t="s">
        <v>3</v>
      </c>
      <c r="DK515" t="s">
        <v>3</v>
      </c>
      <c r="DL515" t="s">
        <v>3</v>
      </c>
      <c r="DM515" t="s">
        <v>3</v>
      </c>
      <c r="DN515">
        <v>0</v>
      </c>
      <c r="DO515">
        <v>0</v>
      </c>
      <c r="DP515">
        <v>1</v>
      </c>
      <c r="DQ515">
        <v>1</v>
      </c>
      <c r="DU515">
        <v>1013</v>
      </c>
      <c r="DV515" t="s">
        <v>73</v>
      </c>
      <c r="DW515" t="s">
        <v>73</v>
      </c>
      <c r="DX515">
        <v>1</v>
      </c>
      <c r="DZ515" t="s">
        <v>3</v>
      </c>
      <c r="EA515" t="s">
        <v>3</v>
      </c>
      <c r="EB515" t="s">
        <v>3</v>
      </c>
      <c r="EC515" t="s">
        <v>3</v>
      </c>
      <c r="EE515">
        <v>1441815344</v>
      </c>
      <c r="EF515">
        <v>1</v>
      </c>
      <c r="EG515" t="s">
        <v>21</v>
      </c>
      <c r="EH515">
        <v>0</v>
      </c>
      <c r="EI515" t="s">
        <v>3</v>
      </c>
      <c r="EJ515">
        <v>4</v>
      </c>
      <c r="EK515">
        <v>0</v>
      </c>
      <c r="EL515" t="s">
        <v>22</v>
      </c>
      <c r="EM515" t="s">
        <v>23</v>
      </c>
      <c r="EO515" t="s">
        <v>3</v>
      </c>
      <c r="EQ515">
        <v>0</v>
      </c>
      <c r="ER515">
        <v>15896.11</v>
      </c>
      <c r="ES515">
        <v>0</v>
      </c>
      <c r="ET515">
        <v>0</v>
      </c>
      <c r="EU515">
        <v>0</v>
      </c>
      <c r="EV515">
        <v>15896.11</v>
      </c>
      <c r="EW515">
        <v>26.7</v>
      </c>
      <c r="EX515">
        <v>0</v>
      </c>
      <c r="EY515">
        <v>0</v>
      </c>
      <c r="FQ515">
        <v>0</v>
      </c>
      <c r="FR515">
        <f t="shared" si="495"/>
        <v>0</v>
      </c>
      <c r="FS515">
        <v>0</v>
      </c>
      <c r="FX515">
        <v>70</v>
      </c>
      <c r="FY515">
        <v>10</v>
      </c>
      <c r="GA515" t="s">
        <v>3</v>
      </c>
      <c r="GD515">
        <v>0</v>
      </c>
      <c r="GF515">
        <v>-1089660975</v>
      </c>
      <c r="GG515">
        <v>2</v>
      </c>
      <c r="GH515">
        <v>1</v>
      </c>
      <c r="GI515">
        <v>-2</v>
      </c>
      <c r="GJ515">
        <v>0</v>
      </c>
      <c r="GK515">
        <f>ROUND(R515*(R12)/100,2)</f>
        <v>0</v>
      </c>
      <c r="GL515">
        <f t="shared" si="496"/>
        <v>0</v>
      </c>
      <c r="GM515">
        <f t="shared" si="497"/>
        <v>2861.3</v>
      </c>
      <c r="GN515">
        <f t="shared" si="498"/>
        <v>0</v>
      </c>
      <c r="GO515">
        <f t="shared" si="499"/>
        <v>0</v>
      </c>
      <c r="GP515">
        <f t="shared" si="500"/>
        <v>2861.3</v>
      </c>
      <c r="GR515">
        <v>0</v>
      </c>
      <c r="GS515">
        <v>3</v>
      </c>
      <c r="GT515">
        <v>0</v>
      </c>
      <c r="GU515" t="s">
        <v>3</v>
      </c>
      <c r="GV515">
        <f t="shared" si="501"/>
        <v>0</v>
      </c>
      <c r="GW515">
        <v>1</v>
      </c>
      <c r="GX515">
        <f t="shared" si="502"/>
        <v>0</v>
      </c>
      <c r="HA515">
        <v>0</v>
      </c>
      <c r="HB515">
        <v>0</v>
      </c>
      <c r="HC515">
        <f t="shared" si="503"/>
        <v>0</v>
      </c>
      <c r="HE515" t="s">
        <v>3</v>
      </c>
      <c r="HF515" t="s">
        <v>3</v>
      </c>
      <c r="HM515" t="s">
        <v>3</v>
      </c>
      <c r="HN515" t="s">
        <v>3</v>
      </c>
      <c r="HO515" t="s">
        <v>3</v>
      </c>
      <c r="HP515" t="s">
        <v>3</v>
      </c>
      <c r="HQ515" t="s">
        <v>3</v>
      </c>
      <c r="IK515">
        <v>0</v>
      </c>
    </row>
    <row r="516" spans="1:245" x14ac:dyDescent="0.2">
      <c r="A516">
        <v>17</v>
      </c>
      <c r="B516">
        <v>1</v>
      </c>
      <c r="D516">
        <f>ROW(EtalonRes!A286)</f>
        <v>286</v>
      </c>
      <c r="E516" t="s">
        <v>3</v>
      </c>
      <c r="F516" t="s">
        <v>63</v>
      </c>
      <c r="G516" t="s">
        <v>64</v>
      </c>
      <c r="H516" t="s">
        <v>36</v>
      </c>
      <c r="I516">
        <v>39</v>
      </c>
      <c r="J516">
        <v>0</v>
      </c>
      <c r="K516">
        <v>39</v>
      </c>
      <c r="O516">
        <f t="shared" si="471"/>
        <v>157978.07999999999</v>
      </c>
      <c r="P516">
        <f t="shared" si="472"/>
        <v>0</v>
      </c>
      <c r="Q516">
        <f t="shared" si="473"/>
        <v>0</v>
      </c>
      <c r="R516">
        <f t="shared" si="474"/>
        <v>0</v>
      </c>
      <c r="S516">
        <f t="shared" si="475"/>
        <v>157978.07999999999</v>
      </c>
      <c r="T516">
        <f t="shared" si="476"/>
        <v>0</v>
      </c>
      <c r="U516">
        <f t="shared" si="477"/>
        <v>255.83999999999997</v>
      </c>
      <c r="V516">
        <f t="shared" si="478"/>
        <v>0</v>
      </c>
      <c r="W516">
        <f t="shared" si="479"/>
        <v>0</v>
      </c>
      <c r="X516">
        <f t="shared" si="480"/>
        <v>110584.66</v>
      </c>
      <c r="Y516">
        <f t="shared" si="481"/>
        <v>15797.81</v>
      </c>
      <c r="AA516">
        <v>-1</v>
      </c>
      <c r="AB516">
        <f t="shared" si="482"/>
        <v>4050.72</v>
      </c>
      <c r="AC516">
        <f>ROUND((ES516),6)</f>
        <v>0</v>
      </c>
      <c r="AD516">
        <f>ROUND((((ET516)-(EU516))+AE516),6)</f>
        <v>0</v>
      </c>
      <c r="AE516">
        <f>ROUND((EU516),6)</f>
        <v>0</v>
      </c>
      <c r="AF516">
        <f>ROUND(((EV516*8)),6)</f>
        <v>4050.72</v>
      </c>
      <c r="AG516">
        <f t="shared" si="483"/>
        <v>0</v>
      </c>
      <c r="AH516">
        <f>((EW516*8))</f>
        <v>6.56</v>
      </c>
      <c r="AI516">
        <f>(EX516)</f>
        <v>0</v>
      </c>
      <c r="AJ516">
        <f t="shared" si="484"/>
        <v>0</v>
      </c>
      <c r="AK516">
        <v>506.34</v>
      </c>
      <c r="AL516">
        <v>0</v>
      </c>
      <c r="AM516">
        <v>0</v>
      </c>
      <c r="AN516">
        <v>0</v>
      </c>
      <c r="AO516">
        <v>506.34</v>
      </c>
      <c r="AP516">
        <v>0</v>
      </c>
      <c r="AQ516">
        <v>0.82</v>
      </c>
      <c r="AR516">
        <v>0</v>
      </c>
      <c r="AS516">
        <v>0</v>
      </c>
      <c r="AT516">
        <v>70</v>
      </c>
      <c r="AU516">
        <v>10</v>
      </c>
      <c r="AV516">
        <v>1</v>
      </c>
      <c r="AW516">
        <v>1</v>
      </c>
      <c r="AZ516">
        <v>1</v>
      </c>
      <c r="BA516">
        <v>1</v>
      </c>
      <c r="BB516">
        <v>1</v>
      </c>
      <c r="BC516">
        <v>1</v>
      </c>
      <c r="BD516" t="s">
        <v>3</v>
      </c>
      <c r="BE516" t="s">
        <v>3</v>
      </c>
      <c r="BF516" t="s">
        <v>3</v>
      </c>
      <c r="BG516" t="s">
        <v>3</v>
      </c>
      <c r="BH516">
        <v>0</v>
      </c>
      <c r="BI516">
        <v>4</v>
      </c>
      <c r="BJ516" t="s">
        <v>65</v>
      </c>
      <c r="BM516">
        <v>0</v>
      </c>
      <c r="BN516">
        <v>0</v>
      </c>
      <c r="BO516" t="s">
        <v>3</v>
      </c>
      <c r="BP516">
        <v>0</v>
      </c>
      <c r="BQ516">
        <v>1</v>
      </c>
      <c r="BR516">
        <v>0</v>
      </c>
      <c r="BS516">
        <v>1</v>
      </c>
      <c r="BT516">
        <v>1</v>
      </c>
      <c r="BU516">
        <v>1</v>
      </c>
      <c r="BV516">
        <v>1</v>
      </c>
      <c r="BW516">
        <v>1</v>
      </c>
      <c r="BX516">
        <v>1</v>
      </c>
      <c r="BY516" t="s">
        <v>3</v>
      </c>
      <c r="BZ516">
        <v>70</v>
      </c>
      <c r="CA516">
        <v>10</v>
      </c>
      <c r="CB516" t="s">
        <v>3</v>
      </c>
      <c r="CE516">
        <v>0</v>
      </c>
      <c r="CF516">
        <v>0</v>
      </c>
      <c r="CG516">
        <v>0</v>
      </c>
      <c r="CM516">
        <v>0</v>
      </c>
      <c r="CN516" t="s">
        <v>3</v>
      </c>
      <c r="CO516">
        <v>0</v>
      </c>
      <c r="CP516">
        <f t="shared" si="485"/>
        <v>157978.07999999999</v>
      </c>
      <c r="CQ516">
        <f t="shared" si="486"/>
        <v>0</v>
      </c>
      <c r="CR516">
        <f>((((ET516)*BB516-(EU516)*BS516)+AE516*BS516)*AV516)</f>
        <v>0</v>
      </c>
      <c r="CS516">
        <f t="shared" si="487"/>
        <v>0</v>
      </c>
      <c r="CT516">
        <f t="shared" si="488"/>
        <v>4050.72</v>
      </c>
      <c r="CU516">
        <f t="shared" si="489"/>
        <v>0</v>
      </c>
      <c r="CV516">
        <f t="shared" si="490"/>
        <v>6.56</v>
      </c>
      <c r="CW516">
        <f t="shared" si="491"/>
        <v>0</v>
      </c>
      <c r="CX516">
        <f t="shared" si="492"/>
        <v>0</v>
      </c>
      <c r="CY516">
        <f t="shared" si="493"/>
        <v>110584.656</v>
      </c>
      <c r="CZ516">
        <f t="shared" si="494"/>
        <v>15797.807999999997</v>
      </c>
      <c r="DC516" t="s">
        <v>3</v>
      </c>
      <c r="DD516" t="s">
        <v>3</v>
      </c>
      <c r="DE516" t="s">
        <v>3</v>
      </c>
      <c r="DF516" t="s">
        <v>3</v>
      </c>
      <c r="DG516" t="s">
        <v>27</v>
      </c>
      <c r="DH516" t="s">
        <v>3</v>
      </c>
      <c r="DI516" t="s">
        <v>27</v>
      </c>
      <c r="DJ516" t="s">
        <v>3</v>
      </c>
      <c r="DK516" t="s">
        <v>3</v>
      </c>
      <c r="DL516" t="s">
        <v>3</v>
      </c>
      <c r="DM516" t="s">
        <v>3</v>
      </c>
      <c r="DN516">
        <v>0</v>
      </c>
      <c r="DO516">
        <v>0</v>
      </c>
      <c r="DP516">
        <v>1</v>
      </c>
      <c r="DQ516">
        <v>1</v>
      </c>
      <c r="DU516">
        <v>16987630</v>
      </c>
      <c r="DV516" t="s">
        <v>36</v>
      </c>
      <c r="DW516" t="s">
        <v>36</v>
      </c>
      <c r="DX516">
        <v>1</v>
      </c>
      <c r="DZ516" t="s">
        <v>3</v>
      </c>
      <c r="EA516" t="s">
        <v>3</v>
      </c>
      <c r="EB516" t="s">
        <v>3</v>
      </c>
      <c r="EC516" t="s">
        <v>3</v>
      </c>
      <c r="EE516">
        <v>1441815344</v>
      </c>
      <c r="EF516">
        <v>1</v>
      </c>
      <c r="EG516" t="s">
        <v>21</v>
      </c>
      <c r="EH516">
        <v>0</v>
      </c>
      <c r="EI516" t="s">
        <v>3</v>
      </c>
      <c r="EJ516">
        <v>4</v>
      </c>
      <c r="EK516">
        <v>0</v>
      </c>
      <c r="EL516" t="s">
        <v>22</v>
      </c>
      <c r="EM516" t="s">
        <v>23</v>
      </c>
      <c r="EO516" t="s">
        <v>3</v>
      </c>
      <c r="EQ516">
        <v>1024</v>
      </c>
      <c r="ER516">
        <v>506.34</v>
      </c>
      <c r="ES516">
        <v>0</v>
      </c>
      <c r="ET516">
        <v>0</v>
      </c>
      <c r="EU516">
        <v>0</v>
      </c>
      <c r="EV516">
        <v>506.34</v>
      </c>
      <c r="EW516">
        <v>0.82</v>
      </c>
      <c r="EX516">
        <v>0</v>
      </c>
      <c r="EY516">
        <v>0</v>
      </c>
      <c r="FQ516">
        <v>0</v>
      </c>
      <c r="FR516">
        <f t="shared" si="495"/>
        <v>0</v>
      </c>
      <c r="FS516">
        <v>0</v>
      </c>
      <c r="FX516">
        <v>70</v>
      </c>
      <c r="FY516">
        <v>10</v>
      </c>
      <c r="GA516" t="s">
        <v>3</v>
      </c>
      <c r="GD516">
        <v>0</v>
      </c>
      <c r="GF516">
        <v>1354931498</v>
      </c>
      <c r="GG516">
        <v>2</v>
      </c>
      <c r="GH516">
        <v>1</v>
      </c>
      <c r="GI516">
        <v>-2</v>
      </c>
      <c r="GJ516">
        <v>0</v>
      </c>
      <c r="GK516">
        <f>ROUND(R516*(R12)/100,2)</f>
        <v>0</v>
      </c>
      <c r="GL516">
        <f t="shared" si="496"/>
        <v>0</v>
      </c>
      <c r="GM516">
        <f t="shared" si="497"/>
        <v>284360.55</v>
      </c>
      <c r="GN516">
        <f t="shared" si="498"/>
        <v>0</v>
      </c>
      <c r="GO516">
        <f t="shared" si="499"/>
        <v>0</v>
      </c>
      <c r="GP516">
        <f t="shared" si="500"/>
        <v>284360.55</v>
      </c>
      <c r="GR516">
        <v>0</v>
      </c>
      <c r="GS516">
        <v>3</v>
      </c>
      <c r="GT516">
        <v>0</v>
      </c>
      <c r="GU516" t="s">
        <v>3</v>
      </c>
      <c r="GV516">
        <f t="shared" si="501"/>
        <v>0</v>
      </c>
      <c r="GW516">
        <v>1</v>
      </c>
      <c r="GX516">
        <f t="shared" si="502"/>
        <v>0</v>
      </c>
      <c r="HA516">
        <v>0</v>
      </c>
      <c r="HB516">
        <v>0</v>
      </c>
      <c r="HC516">
        <f t="shared" si="503"/>
        <v>0</v>
      </c>
      <c r="HE516" t="s">
        <v>3</v>
      </c>
      <c r="HF516" t="s">
        <v>3</v>
      </c>
      <c r="HM516" t="s">
        <v>3</v>
      </c>
      <c r="HN516" t="s">
        <v>3</v>
      </c>
      <c r="HO516" t="s">
        <v>3</v>
      </c>
      <c r="HP516" t="s">
        <v>3</v>
      </c>
      <c r="HQ516" t="s">
        <v>3</v>
      </c>
      <c r="IK516">
        <v>0</v>
      </c>
    </row>
    <row r="517" spans="1:245" x14ac:dyDescent="0.2">
      <c r="A517">
        <v>17</v>
      </c>
      <c r="B517">
        <v>1</v>
      </c>
      <c r="D517">
        <f>ROW(EtalonRes!A288)</f>
        <v>288</v>
      </c>
      <c r="E517" t="s">
        <v>361</v>
      </c>
      <c r="F517" t="s">
        <v>39</v>
      </c>
      <c r="G517" t="s">
        <v>69</v>
      </c>
      <c r="H517" t="s">
        <v>36</v>
      </c>
      <c r="I517">
        <f>ROUND((10)*1,9)</f>
        <v>10</v>
      </c>
      <c r="J517">
        <v>0</v>
      </c>
      <c r="K517">
        <f>ROUND((10)*1,9)</f>
        <v>10</v>
      </c>
      <c r="O517">
        <f t="shared" si="471"/>
        <v>2861.8</v>
      </c>
      <c r="P517">
        <f t="shared" si="472"/>
        <v>0</v>
      </c>
      <c r="Q517">
        <f t="shared" si="473"/>
        <v>781.8</v>
      </c>
      <c r="R517">
        <f t="shared" si="474"/>
        <v>495.7</v>
      </c>
      <c r="S517">
        <f t="shared" si="475"/>
        <v>2080</v>
      </c>
      <c r="T517">
        <f t="shared" si="476"/>
        <v>0</v>
      </c>
      <c r="U517">
        <f t="shared" si="477"/>
        <v>3.7</v>
      </c>
      <c r="V517">
        <f t="shared" si="478"/>
        <v>0</v>
      </c>
      <c r="W517">
        <f t="shared" si="479"/>
        <v>0</v>
      </c>
      <c r="X517">
        <f t="shared" si="480"/>
        <v>1456</v>
      </c>
      <c r="Y517">
        <f t="shared" si="481"/>
        <v>208</v>
      </c>
      <c r="AA517">
        <v>1471718271</v>
      </c>
      <c r="AB517">
        <f t="shared" si="482"/>
        <v>286.18</v>
      </c>
      <c r="AC517">
        <f>ROUND((ES517),6)</f>
        <v>0</v>
      </c>
      <c r="AD517">
        <f>ROUND((((ET517)-(EU517))+AE517),6)</f>
        <v>78.180000000000007</v>
      </c>
      <c r="AE517">
        <f>ROUND((EU517),6)</f>
        <v>49.57</v>
      </c>
      <c r="AF517">
        <f>ROUND((EV517),6)</f>
        <v>208</v>
      </c>
      <c r="AG517">
        <f t="shared" si="483"/>
        <v>0</v>
      </c>
      <c r="AH517">
        <f>(EW517)</f>
        <v>0.37</v>
      </c>
      <c r="AI517">
        <f>(EX517)</f>
        <v>0</v>
      </c>
      <c r="AJ517">
        <f t="shared" si="484"/>
        <v>0</v>
      </c>
      <c r="AK517">
        <v>286.18</v>
      </c>
      <c r="AL517">
        <v>0</v>
      </c>
      <c r="AM517">
        <v>78.180000000000007</v>
      </c>
      <c r="AN517">
        <v>49.57</v>
      </c>
      <c r="AO517">
        <v>208</v>
      </c>
      <c r="AP517">
        <v>0</v>
      </c>
      <c r="AQ517">
        <v>0.37</v>
      </c>
      <c r="AR517">
        <v>0</v>
      </c>
      <c r="AS517">
        <v>0</v>
      </c>
      <c r="AT517">
        <v>70</v>
      </c>
      <c r="AU517">
        <v>10</v>
      </c>
      <c r="AV517">
        <v>1</v>
      </c>
      <c r="AW517">
        <v>1</v>
      </c>
      <c r="AZ517">
        <v>1</v>
      </c>
      <c r="BA517">
        <v>1</v>
      </c>
      <c r="BB517">
        <v>1</v>
      </c>
      <c r="BC517">
        <v>1</v>
      </c>
      <c r="BD517" t="s">
        <v>3</v>
      </c>
      <c r="BE517" t="s">
        <v>3</v>
      </c>
      <c r="BF517" t="s">
        <v>3</v>
      </c>
      <c r="BG517" t="s">
        <v>3</v>
      </c>
      <c r="BH517">
        <v>0</v>
      </c>
      <c r="BI517">
        <v>4</v>
      </c>
      <c r="BJ517" t="s">
        <v>41</v>
      </c>
      <c r="BM517">
        <v>0</v>
      </c>
      <c r="BN517">
        <v>0</v>
      </c>
      <c r="BO517" t="s">
        <v>3</v>
      </c>
      <c r="BP517">
        <v>0</v>
      </c>
      <c r="BQ517">
        <v>1</v>
      </c>
      <c r="BR517">
        <v>0</v>
      </c>
      <c r="BS517">
        <v>1</v>
      </c>
      <c r="BT517">
        <v>1</v>
      </c>
      <c r="BU517">
        <v>1</v>
      </c>
      <c r="BV517">
        <v>1</v>
      </c>
      <c r="BW517">
        <v>1</v>
      </c>
      <c r="BX517">
        <v>1</v>
      </c>
      <c r="BY517" t="s">
        <v>3</v>
      </c>
      <c r="BZ517">
        <v>70</v>
      </c>
      <c r="CA517">
        <v>10</v>
      </c>
      <c r="CB517" t="s">
        <v>3</v>
      </c>
      <c r="CE517">
        <v>0</v>
      </c>
      <c r="CF517">
        <v>0</v>
      </c>
      <c r="CG517">
        <v>0</v>
      </c>
      <c r="CM517">
        <v>0</v>
      </c>
      <c r="CN517" t="s">
        <v>3</v>
      </c>
      <c r="CO517">
        <v>0</v>
      </c>
      <c r="CP517">
        <f t="shared" si="485"/>
        <v>2861.8</v>
      </c>
      <c r="CQ517">
        <f t="shared" si="486"/>
        <v>0</v>
      </c>
      <c r="CR517">
        <f>((((ET517)*BB517-(EU517)*BS517)+AE517*BS517)*AV517)</f>
        <v>78.180000000000007</v>
      </c>
      <c r="CS517">
        <f t="shared" si="487"/>
        <v>49.57</v>
      </c>
      <c r="CT517">
        <f t="shared" si="488"/>
        <v>208</v>
      </c>
      <c r="CU517">
        <f t="shared" si="489"/>
        <v>0</v>
      </c>
      <c r="CV517">
        <f t="shared" si="490"/>
        <v>0.37</v>
      </c>
      <c r="CW517">
        <f t="shared" si="491"/>
        <v>0</v>
      </c>
      <c r="CX517">
        <f t="shared" si="492"/>
        <v>0</v>
      </c>
      <c r="CY517">
        <f t="shared" si="493"/>
        <v>1456</v>
      </c>
      <c r="CZ517">
        <f t="shared" si="494"/>
        <v>208</v>
      </c>
      <c r="DC517" t="s">
        <v>3</v>
      </c>
      <c r="DD517" t="s">
        <v>3</v>
      </c>
      <c r="DE517" t="s">
        <v>3</v>
      </c>
      <c r="DF517" t="s">
        <v>3</v>
      </c>
      <c r="DG517" t="s">
        <v>3</v>
      </c>
      <c r="DH517" t="s">
        <v>3</v>
      </c>
      <c r="DI517" t="s">
        <v>3</v>
      </c>
      <c r="DJ517" t="s">
        <v>3</v>
      </c>
      <c r="DK517" t="s">
        <v>3</v>
      </c>
      <c r="DL517" t="s">
        <v>3</v>
      </c>
      <c r="DM517" t="s">
        <v>3</v>
      </c>
      <c r="DN517">
        <v>0</v>
      </c>
      <c r="DO517">
        <v>0</v>
      </c>
      <c r="DP517">
        <v>1</v>
      </c>
      <c r="DQ517">
        <v>1</v>
      </c>
      <c r="DU517">
        <v>16987630</v>
      </c>
      <c r="DV517" t="s">
        <v>36</v>
      </c>
      <c r="DW517" t="s">
        <v>36</v>
      </c>
      <c r="DX517">
        <v>1</v>
      </c>
      <c r="DZ517" t="s">
        <v>3</v>
      </c>
      <c r="EA517" t="s">
        <v>3</v>
      </c>
      <c r="EB517" t="s">
        <v>3</v>
      </c>
      <c r="EC517" t="s">
        <v>3</v>
      </c>
      <c r="EE517">
        <v>1441815344</v>
      </c>
      <c r="EF517">
        <v>1</v>
      </c>
      <c r="EG517" t="s">
        <v>21</v>
      </c>
      <c r="EH517">
        <v>0</v>
      </c>
      <c r="EI517" t="s">
        <v>3</v>
      </c>
      <c r="EJ517">
        <v>4</v>
      </c>
      <c r="EK517">
        <v>0</v>
      </c>
      <c r="EL517" t="s">
        <v>22</v>
      </c>
      <c r="EM517" t="s">
        <v>23</v>
      </c>
      <c r="EO517" t="s">
        <v>3</v>
      </c>
      <c r="EQ517">
        <v>0</v>
      </c>
      <c r="ER517">
        <v>286.18</v>
      </c>
      <c r="ES517">
        <v>0</v>
      </c>
      <c r="ET517">
        <v>78.180000000000007</v>
      </c>
      <c r="EU517">
        <v>49.57</v>
      </c>
      <c r="EV517">
        <v>208</v>
      </c>
      <c r="EW517">
        <v>0.37</v>
      </c>
      <c r="EX517">
        <v>0</v>
      </c>
      <c r="EY517">
        <v>0</v>
      </c>
      <c r="FQ517">
        <v>0</v>
      </c>
      <c r="FR517">
        <f t="shared" si="495"/>
        <v>0</v>
      </c>
      <c r="FS517">
        <v>0</v>
      </c>
      <c r="FX517">
        <v>70</v>
      </c>
      <c r="FY517">
        <v>10</v>
      </c>
      <c r="GA517" t="s">
        <v>3</v>
      </c>
      <c r="GD517">
        <v>0</v>
      </c>
      <c r="GF517">
        <v>1694456522</v>
      </c>
      <c r="GG517">
        <v>2</v>
      </c>
      <c r="GH517">
        <v>1</v>
      </c>
      <c r="GI517">
        <v>-2</v>
      </c>
      <c r="GJ517">
        <v>0</v>
      </c>
      <c r="GK517">
        <f>ROUND(R517*(R12)/100,2)</f>
        <v>535.36</v>
      </c>
      <c r="GL517">
        <f t="shared" si="496"/>
        <v>0</v>
      </c>
      <c r="GM517">
        <f t="shared" si="497"/>
        <v>5061.16</v>
      </c>
      <c r="GN517">
        <f t="shared" si="498"/>
        <v>0</v>
      </c>
      <c r="GO517">
        <f t="shared" si="499"/>
        <v>0</v>
      </c>
      <c r="GP517">
        <f t="shared" si="500"/>
        <v>5061.16</v>
      </c>
      <c r="GR517">
        <v>0</v>
      </c>
      <c r="GS517">
        <v>3</v>
      </c>
      <c r="GT517">
        <v>0</v>
      </c>
      <c r="GU517" t="s">
        <v>3</v>
      </c>
      <c r="GV517">
        <f t="shared" si="501"/>
        <v>0</v>
      </c>
      <c r="GW517">
        <v>1</v>
      </c>
      <c r="GX517">
        <f t="shared" si="502"/>
        <v>0</v>
      </c>
      <c r="HA517">
        <v>0</v>
      </c>
      <c r="HB517">
        <v>0</v>
      </c>
      <c r="HC517">
        <f t="shared" si="503"/>
        <v>0</v>
      </c>
      <c r="HE517" t="s">
        <v>3</v>
      </c>
      <c r="HF517" t="s">
        <v>3</v>
      </c>
      <c r="HM517" t="s">
        <v>3</v>
      </c>
      <c r="HN517" t="s">
        <v>3</v>
      </c>
      <c r="HO517" t="s">
        <v>3</v>
      </c>
      <c r="HP517" t="s">
        <v>3</v>
      </c>
      <c r="HQ517" t="s">
        <v>3</v>
      </c>
      <c r="IK517">
        <v>0</v>
      </c>
    </row>
    <row r="518" spans="1:245" x14ac:dyDescent="0.2">
      <c r="A518">
        <v>17</v>
      </c>
      <c r="B518">
        <v>1</v>
      </c>
      <c r="D518">
        <f>ROW(EtalonRes!A290)</f>
        <v>290</v>
      </c>
      <c r="E518" t="s">
        <v>362</v>
      </c>
      <c r="F518" t="s">
        <v>76</v>
      </c>
      <c r="G518" t="s">
        <v>77</v>
      </c>
      <c r="H518" t="s">
        <v>53</v>
      </c>
      <c r="I518">
        <f>ROUND((10)*1/100,9)</f>
        <v>0.1</v>
      </c>
      <c r="J518">
        <v>0</v>
      </c>
      <c r="K518">
        <f>ROUND((10)*1/100,9)</f>
        <v>0.1</v>
      </c>
      <c r="O518">
        <f t="shared" si="471"/>
        <v>5778.21</v>
      </c>
      <c r="P518">
        <f t="shared" si="472"/>
        <v>97.43</v>
      </c>
      <c r="Q518">
        <f t="shared" si="473"/>
        <v>0</v>
      </c>
      <c r="R518">
        <f t="shared" si="474"/>
        <v>0</v>
      </c>
      <c r="S518">
        <f t="shared" si="475"/>
        <v>5680.78</v>
      </c>
      <c r="T518">
        <f t="shared" si="476"/>
        <v>0</v>
      </c>
      <c r="U518">
        <f t="shared" si="477"/>
        <v>11.208</v>
      </c>
      <c r="V518">
        <f t="shared" si="478"/>
        <v>0</v>
      </c>
      <c r="W518">
        <f t="shared" si="479"/>
        <v>0</v>
      </c>
      <c r="X518">
        <f t="shared" si="480"/>
        <v>3976.55</v>
      </c>
      <c r="Y518">
        <f t="shared" si="481"/>
        <v>568.08000000000004</v>
      </c>
      <c r="AA518">
        <v>1471718271</v>
      </c>
      <c r="AB518">
        <f t="shared" si="482"/>
        <v>57782.04</v>
      </c>
      <c r="AC518">
        <f>ROUND(((ES518*4)),6)</f>
        <v>974.28</v>
      </c>
      <c r="AD518">
        <f>ROUND(((((ET518*4))-((EU518*4)))+AE518),6)</f>
        <v>0</v>
      </c>
      <c r="AE518">
        <f>ROUND(((EU518*4)),6)</f>
        <v>0</v>
      </c>
      <c r="AF518">
        <f>ROUND(((EV518*4)),6)</f>
        <v>56807.76</v>
      </c>
      <c r="AG518">
        <f t="shared" si="483"/>
        <v>0</v>
      </c>
      <c r="AH518">
        <f>((EW518*4))</f>
        <v>112.08</v>
      </c>
      <c r="AI518">
        <f>((EX518*4))</f>
        <v>0</v>
      </c>
      <c r="AJ518">
        <f t="shared" si="484"/>
        <v>0</v>
      </c>
      <c r="AK518">
        <v>14445.51</v>
      </c>
      <c r="AL518">
        <v>243.57</v>
      </c>
      <c r="AM518">
        <v>0</v>
      </c>
      <c r="AN518">
        <v>0</v>
      </c>
      <c r="AO518">
        <v>14201.94</v>
      </c>
      <c r="AP518">
        <v>0</v>
      </c>
      <c r="AQ518">
        <v>28.02</v>
      </c>
      <c r="AR518">
        <v>0</v>
      </c>
      <c r="AS518">
        <v>0</v>
      </c>
      <c r="AT518">
        <v>70</v>
      </c>
      <c r="AU518">
        <v>10</v>
      </c>
      <c r="AV518">
        <v>1</v>
      </c>
      <c r="AW518">
        <v>1</v>
      </c>
      <c r="AZ518">
        <v>1</v>
      </c>
      <c r="BA518">
        <v>1</v>
      </c>
      <c r="BB518">
        <v>1</v>
      </c>
      <c r="BC518">
        <v>1</v>
      </c>
      <c r="BD518" t="s">
        <v>3</v>
      </c>
      <c r="BE518" t="s">
        <v>3</v>
      </c>
      <c r="BF518" t="s">
        <v>3</v>
      </c>
      <c r="BG518" t="s">
        <v>3</v>
      </c>
      <c r="BH518">
        <v>0</v>
      </c>
      <c r="BI518">
        <v>4</v>
      </c>
      <c r="BJ518" t="s">
        <v>78</v>
      </c>
      <c r="BM518">
        <v>0</v>
      </c>
      <c r="BN518">
        <v>0</v>
      </c>
      <c r="BO518" t="s">
        <v>3</v>
      </c>
      <c r="BP518">
        <v>0</v>
      </c>
      <c r="BQ518">
        <v>1</v>
      </c>
      <c r="BR518">
        <v>0</v>
      </c>
      <c r="BS518">
        <v>1</v>
      </c>
      <c r="BT518">
        <v>1</v>
      </c>
      <c r="BU518">
        <v>1</v>
      </c>
      <c r="BV518">
        <v>1</v>
      </c>
      <c r="BW518">
        <v>1</v>
      </c>
      <c r="BX518">
        <v>1</v>
      </c>
      <c r="BY518" t="s">
        <v>3</v>
      </c>
      <c r="BZ518">
        <v>70</v>
      </c>
      <c r="CA518">
        <v>10</v>
      </c>
      <c r="CB518" t="s">
        <v>3</v>
      </c>
      <c r="CE518">
        <v>0</v>
      </c>
      <c r="CF518">
        <v>0</v>
      </c>
      <c r="CG518">
        <v>0</v>
      </c>
      <c r="CM518">
        <v>0</v>
      </c>
      <c r="CN518" t="s">
        <v>3</v>
      </c>
      <c r="CO518">
        <v>0</v>
      </c>
      <c r="CP518">
        <f t="shared" si="485"/>
        <v>5778.21</v>
      </c>
      <c r="CQ518">
        <f t="shared" si="486"/>
        <v>974.28</v>
      </c>
      <c r="CR518">
        <f>(((((ET518*4))*BB518-((EU518*4))*BS518)+AE518*BS518)*AV518)</f>
        <v>0</v>
      </c>
      <c r="CS518">
        <f t="shared" si="487"/>
        <v>0</v>
      </c>
      <c r="CT518">
        <f t="shared" si="488"/>
        <v>56807.76</v>
      </c>
      <c r="CU518">
        <f t="shared" si="489"/>
        <v>0</v>
      </c>
      <c r="CV518">
        <f t="shared" si="490"/>
        <v>112.08</v>
      </c>
      <c r="CW518">
        <f t="shared" si="491"/>
        <v>0</v>
      </c>
      <c r="CX518">
        <f t="shared" si="492"/>
        <v>0</v>
      </c>
      <c r="CY518">
        <f t="shared" si="493"/>
        <v>3976.5459999999998</v>
      </c>
      <c r="CZ518">
        <f t="shared" si="494"/>
        <v>568.07799999999997</v>
      </c>
      <c r="DC518" t="s">
        <v>3</v>
      </c>
      <c r="DD518" t="s">
        <v>20</v>
      </c>
      <c r="DE518" t="s">
        <v>20</v>
      </c>
      <c r="DF518" t="s">
        <v>20</v>
      </c>
      <c r="DG518" t="s">
        <v>20</v>
      </c>
      <c r="DH518" t="s">
        <v>3</v>
      </c>
      <c r="DI518" t="s">
        <v>20</v>
      </c>
      <c r="DJ518" t="s">
        <v>20</v>
      </c>
      <c r="DK518" t="s">
        <v>3</v>
      </c>
      <c r="DL518" t="s">
        <v>3</v>
      </c>
      <c r="DM518" t="s">
        <v>3</v>
      </c>
      <c r="DN518">
        <v>0</v>
      </c>
      <c r="DO518">
        <v>0</v>
      </c>
      <c r="DP518">
        <v>1</v>
      </c>
      <c r="DQ518">
        <v>1</v>
      </c>
      <c r="DU518">
        <v>16987630</v>
      </c>
      <c r="DV518" t="s">
        <v>53</v>
      </c>
      <c r="DW518" t="s">
        <v>53</v>
      </c>
      <c r="DX518">
        <v>100</v>
      </c>
      <c r="DZ518" t="s">
        <v>3</v>
      </c>
      <c r="EA518" t="s">
        <v>3</v>
      </c>
      <c r="EB518" t="s">
        <v>3</v>
      </c>
      <c r="EC518" t="s">
        <v>3</v>
      </c>
      <c r="EE518">
        <v>1441815344</v>
      </c>
      <c r="EF518">
        <v>1</v>
      </c>
      <c r="EG518" t="s">
        <v>21</v>
      </c>
      <c r="EH518">
        <v>0</v>
      </c>
      <c r="EI518" t="s">
        <v>3</v>
      </c>
      <c r="EJ518">
        <v>4</v>
      </c>
      <c r="EK518">
        <v>0</v>
      </c>
      <c r="EL518" t="s">
        <v>22</v>
      </c>
      <c r="EM518" t="s">
        <v>23</v>
      </c>
      <c r="EO518" t="s">
        <v>3</v>
      </c>
      <c r="EQ518">
        <v>0</v>
      </c>
      <c r="ER518">
        <v>14445.51</v>
      </c>
      <c r="ES518">
        <v>243.57</v>
      </c>
      <c r="ET518">
        <v>0</v>
      </c>
      <c r="EU518">
        <v>0</v>
      </c>
      <c r="EV518">
        <v>14201.94</v>
      </c>
      <c r="EW518">
        <v>28.02</v>
      </c>
      <c r="EX518">
        <v>0</v>
      </c>
      <c r="EY518">
        <v>0</v>
      </c>
      <c r="FQ518">
        <v>0</v>
      </c>
      <c r="FR518">
        <f t="shared" si="495"/>
        <v>0</v>
      </c>
      <c r="FS518">
        <v>0</v>
      </c>
      <c r="FX518">
        <v>70</v>
      </c>
      <c r="FY518">
        <v>10</v>
      </c>
      <c r="GA518" t="s">
        <v>3</v>
      </c>
      <c r="GD518">
        <v>0</v>
      </c>
      <c r="GF518">
        <v>1586733399</v>
      </c>
      <c r="GG518">
        <v>2</v>
      </c>
      <c r="GH518">
        <v>1</v>
      </c>
      <c r="GI518">
        <v>-2</v>
      </c>
      <c r="GJ518">
        <v>0</v>
      </c>
      <c r="GK518">
        <f>ROUND(R518*(R12)/100,2)</f>
        <v>0</v>
      </c>
      <c r="GL518">
        <f t="shared" si="496"/>
        <v>0</v>
      </c>
      <c r="GM518">
        <f t="shared" si="497"/>
        <v>10322.84</v>
      </c>
      <c r="GN518">
        <f t="shared" si="498"/>
        <v>0</v>
      </c>
      <c r="GO518">
        <f t="shared" si="499"/>
        <v>0</v>
      </c>
      <c r="GP518">
        <f t="shared" si="500"/>
        <v>10322.84</v>
      </c>
      <c r="GR518">
        <v>0</v>
      </c>
      <c r="GS518">
        <v>3</v>
      </c>
      <c r="GT518">
        <v>0</v>
      </c>
      <c r="GU518" t="s">
        <v>3</v>
      </c>
      <c r="GV518">
        <f t="shared" si="501"/>
        <v>0</v>
      </c>
      <c r="GW518">
        <v>1</v>
      </c>
      <c r="GX518">
        <f t="shared" si="502"/>
        <v>0</v>
      </c>
      <c r="HA518">
        <v>0</v>
      </c>
      <c r="HB518">
        <v>0</v>
      </c>
      <c r="HC518">
        <f t="shared" si="503"/>
        <v>0</v>
      </c>
      <c r="HE518" t="s">
        <v>3</v>
      </c>
      <c r="HF518" t="s">
        <v>3</v>
      </c>
      <c r="HM518" t="s">
        <v>3</v>
      </c>
      <c r="HN518" t="s">
        <v>3</v>
      </c>
      <c r="HO518" t="s">
        <v>3</v>
      </c>
      <c r="HP518" t="s">
        <v>3</v>
      </c>
      <c r="HQ518" t="s">
        <v>3</v>
      </c>
      <c r="IK518">
        <v>0</v>
      </c>
    </row>
    <row r="519" spans="1:245" x14ac:dyDescent="0.2">
      <c r="A519">
        <v>17</v>
      </c>
      <c r="B519">
        <v>1</v>
      </c>
      <c r="D519">
        <f>ROW(EtalonRes!A292)</f>
        <v>292</v>
      </c>
      <c r="E519" t="s">
        <v>363</v>
      </c>
      <c r="F519" t="s">
        <v>39</v>
      </c>
      <c r="G519" t="s">
        <v>293</v>
      </c>
      <c r="H519" t="s">
        <v>36</v>
      </c>
      <c r="I519">
        <f>ROUND((10)*1,9)</f>
        <v>10</v>
      </c>
      <c r="J519">
        <v>0</v>
      </c>
      <c r="K519">
        <f>ROUND((10)*1,9)</f>
        <v>10</v>
      </c>
      <c r="O519">
        <f t="shared" si="471"/>
        <v>2861.8</v>
      </c>
      <c r="P519">
        <f t="shared" si="472"/>
        <v>0</v>
      </c>
      <c r="Q519">
        <f t="shared" si="473"/>
        <v>781.8</v>
      </c>
      <c r="R519">
        <f t="shared" si="474"/>
        <v>495.7</v>
      </c>
      <c r="S519">
        <f t="shared" si="475"/>
        <v>2080</v>
      </c>
      <c r="T519">
        <f t="shared" si="476"/>
        <v>0</v>
      </c>
      <c r="U519">
        <f t="shared" si="477"/>
        <v>3.7</v>
      </c>
      <c r="V519">
        <f t="shared" si="478"/>
        <v>0</v>
      </c>
      <c r="W519">
        <f t="shared" si="479"/>
        <v>0</v>
      </c>
      <c r="X519">
        <f t="shared" si="480"/>
        <v>1456</v>
      </c>
      <c r="Y519">
        <f t="shared" si="481"/>
        <v>208</v>
      </c>
      <c r="AA519">
        <v>1471718271</v>
      </c>
      <c r="AB519">
        <f t="shared" si="482"/>
        <v>286.18</v>
      </c>
      <c r="AC519">
        <f>ROUND((ES519),6)</f>
        <v>0</v>
      </c>
      <c r="AD519">
        <f>ROUND((((ET519)-(EU519))+AE519),6)</f>
        <v>78.180000000000007</v>
      </c>
      <c r="AE519">
        <f>ROUND((EU519),6)</f>
        <v>49.57</v>
      </c>
      <c r="AF519">
        <f>ROUND((EV519),6)</f>
        <v>208</v>
      </c>
      <c r="AG519">
        <f t="shared" si="483"/>
        <v>0</v>
      </c>
      <c r="AH519">
        <f>(EW519)</f>
        <v>0.37</v>
      </c>
      <c r="AI519">
        <f>(EX519)</f>
        <v>0</v>
      </c>
      <c r="AJ519">
        <f t="shared" si="484"/>
        <v>0</v>
      </c>
      <c r="AK519">
        <v>286.18</v>
      </c>
      <c r="AL519">
        <v>0</v>
      </c>
      <c r="AM519">
        <v>78.180000000000007</v>
      </c>
      <c r="AN519">
        <v>49.57</v>
      </c>
      <c r="AO519">
        <v>208</v>
      </c>
      <c r="AP519">
        <v>0</v>
      </c>
      <c r="AQ519">
        <v>0.37</v>
      </c>
      <c r="AR519">
        <v>0</v>
      </c>
      <c r="AS519">
        <v>0</v>
      </c>
      <c r="AT519">
        <v>70</v>
      </c>
      <c r="AU519">
        <v>10</v>
      </c>
      <c r="AV519">
        <v>1</v>
      </c>
      <c r="AW519">
        <v>1</v>
      </c>
      <c r="AZ519">
        <v>1</v>
      </c>
      <c r="BA519">
        <v>1</v>
      </c>
      <c r="BB519">
        <v>1</v>
      </c>
      <c r="BC519">
        <v>1</v>
      </c>
      <c r="BD519" t="s">
        <v>3</v>
      </c>
      <c r="BE519" t="s">
        <v>3</v>
      </c>
      <c r="BF519" t="s">
        <v>3</v>
      </c>
      <c r="BG519" t="s">
        <v>3</v>
      </c>
      <c r="BH519">
        <v>0</v>
      </c>
      <c r="BI519">
        <v>4</v>
      </c>
      <c r="BJ519" t="s">
        <v>41</v>
      </c>
      <c r="BM519">
        <v>0</v>
      </c>
      <c r="BN519">
        <v>0</v>
      </c>
      <c r="BO519" t="s">
        <v>3</v>
      </c>
      <c r="BP519">
        <v>0</v>
      </c>
      <c r="BQ519">
        <v>1</v>
      </c>
      <c r="BR519">
        <v>0</v>
      </c>
      <c r="BS519">
        <v>1</v>
      </c>
      <c r="BT519">
        <v>1</v>
      </c>
      <c r="BU519">
        <v>1</v>
      </c>
      <c r="BV519">
        <v>1</v>
      </c>
      <c r="BW519">
        <v>1</v>
      </c>
      <c r="BX519">
        <v>1</v>
      </c>
      <c r="BY519" t="s">
        <v>3</v>
      </c>
      <c r="BZ519">
        <v>70</v>
      </c>
      <c r="CA519">
        <v>10</v>
      </c>
      <c r="CB519" t="s">
        <v>3</v>
      </c>
      <c r="CE519">
        <v>0</v>
      </c>
      <c r="CF519">
        <v>0</v>
      </c>
      <c r="CG519">
        <v>0</v>
      </c>
      <c r="CM519">
        <v>0</v>
      </c>
      <c r="CN519" t="s">
        <v>3</v>
      </c>
      <c r="CO519">
        <v>0</v>
      </c>
      <c r="CP519">
        <f t="shared" si="485"/>
        <v>2861.8</v>
      </c>
      <c r="CQ519">
        <f t="shared" si="486"/>
        <v>0</v>
      </c>
      <c r="CR519">
        <f>((((ET519)*BB519-(EU519)*BS519)+AE519*BS519)*AV519)</f>
        <v>78.180000000000007</v>
      </c>
      <c r="CS519">
        <f t="shared" si="487"/>
        <v>49.57</v>
      </c>
      <c r="CT519">
        <f t="shared" si="488"/>
        <v>208</v>
      </c>
      <c r="CU519">
        <f t="shared" si="489"/>
        <v>0</v>
      </c>
      <c r="CV519">
        <f t="shared" si="490"/>
        <v>0.37</v>
      </c>
      <c r="CW519">
        <f t="shared" si="491"/>
        <v>0</v>
      </c>
      <c r="CX519">
        <f t="shared" si="492"/>
        <v>0</v>
      </c>
      <c r="CY519">
        <f t="shared" si="493"/>
        <v>1456</v>
      </c>
      <c r="CZ519">
        <f t="shared" si="494"/>
        <v>208</v>
      </c>
      <c r="DC519" t="s">
        <v>3</v>
      </c>
      <c r="DD519" t="s">
        <v>3</v>
      </c>
      <c r="DE519" t="s">
        <v>3</v>
      </c>
      <c r="DF519" t="s">
        <v>3</v>
      </c>
      <c r="DG519" t="s">
        <v>3</v>
      </c>
      <c r="DH519" t="s">
        <v>3</v>
      </c>
      <c r="DI519" t="s">
        <v>3</v>
      </c>
      <c r="DJ519" t="s">
        <v>3</v>
      </c>
      <c r="DK519" t="s">
        <v>3</v>
      </c>
      <c r="DL519" t="s">
        <v>3</v>
      </c>
      <c r="DM519" t="s">
        <v>3</v>
      </c>
      <c r="DN519">
        <v>0</v>
      </c>
      <c r="DO519">
        <v>0</v>
      </c>
      <c r="DP519">
        <v>1</v>
      </c>
      <c r="DQ519">
        <v>1</v>
      </c>
      <c r="DU519">
        <v>16987630</v>
      </c>
      <c r="DV519" t="s">
        <v>36</v>
      </c>
      <c r="DW519" t="s">
        <v>36</v>
      </c>
      <c r="DX519">
        <v>1</v>
      </c>
      <c r="DZ519" t="s">
        <v>3</v>
      </c>
      <c r="EA519" t="s">
        <v>3</v>
      </c>
      <c r="EB519" t="s">
        <v>3</v>
      </c>
      <c r="EC519" t="s">
        <v>3</v>
      </c>
      <c r="EE519">
        <v>1441815344</v>
      </c>
      <c r="EF519">
        <v>1</v>
      </c>
      <c r="EG519" t="s">
        <v>21</v>
      </c>
      <c r="EH519">
        <v>0</v>
      </c>
      <c r="EI519" t="s">
        <v>3</v>
      </c>
      <c r="EJ519">
        <v>4</v>
      </c>
      <c r="EK519">
        <v>0</v>
      </c>
      <c r="EL519" t="s">
        <v>22</v>
      </c>
      <c r="EM519" t="s">
        <v>23</v>
      </c>
      <c r="EO519" t="s">
        <v>3</v>
      </c>
      <c r="EQ519">
        <v>0</v>
      </c>
      <c r="ER519">
        <v>286.18</v>
      </c>
      <c r="ES519">
        <v>0</v>
      </c>
      <c r="ET519">
        <v>78.180000000000007</v>
      </c>
      <c r="EU519">
        <v>49.57</v>
      </c>
      <c r="EV519">
        <v>208</v>
      </c>
      <c r="EW519">
        <v>0.37</v>
      </c>
      <c r="EX519">
        <v>0</v>
      </c>
      <c r="EY519">
        <v>0</v>
      </c>
      <c r="FQ519">
        <v>0</v>
      </c>
      <c r="FR519">
        <f t="shared" si="495"/>
        <v>0</v>
      </c>
      <c r="FS519">
        <v>0</v>
      </c>
      <c r="FX519">
        <v>70</v>
      </c>
      <c r="FY519">
        <v>10</v>
      </c>
      <c r="GA519" t="s">
        <v>3</v>
      </c>
      <c r="GD519">
        <v>0</v>
      </c>
      <c r="GF519">
        <v>1995703615</v>
      </c>
      <c r="GG519">
        <v>2</v>
      </c>
      <c r="GH519">
        <v>1</v>
      </c>
      <c r="GI519">
        <v>-2</v>
      </c>
      <c r="GJ519">
        <v>0</v>
      </c>
      <c r="GK519">
        <f>ROUND(R519*(R12)/100,2)</f>
        <v>535.36</v>
      </c>
      <c r="GL519">
        <f t="shared" si="496"/>
        <v>0</v>
      </c>
      <c r="GM519">
        <f t="shared" si="497"/>
        <v>5061.16</v>
      </c>
      <c r="GN519">
        <f t="shared" si="498"/>
        <v>0</v>
      </c>
      <c r="GO519">
        <f t="shared" si="499"/>
        <v>0</v>
      </c>
      <c r="GP519">
        <f t="shared" si="500"/>
        <v>5061.16</v>
      </c>
      <c r="GR519">
        <v>0</v>
      </c>
      <c r="GS519">
        <v>3</v>
      </c>
      <c r="GT519">
        <v>0</v>
      </c>
      <c r="GU519" t="s">
        <v>3</v>
      </c>
      <c r="GV519">
        <f t="shared" si="501"/>
        <v>0</v>
      </c>
      <c r="GW519">
        <v>1</v>
      </c>
      <c r="GX519">
        <f t="shared" si="502"/>
        <v>0</v>
      </c>
      <c r="HA519">
        <v>0</v>
      </c>
      <c r="HB519">
        <v>0</v>
      </c>
      <c r="HC519">
        <f t="shared" si="503"/>
        <v>0</v>
      </c>
      <c r="HE519" t="s">
        <v>3</v>
      </c>
      <c r="HF519" t="s">
        <v>3</v>
      </c>
      <c r="HM519" t="s">
        <v>3</v>
      </c>
      <c r="HN519" t="s">
        <v>3</v>
      </c>
      <c r="HO519" t="s">
        <v>3</v>
      </c>
      <c r="HP519" t="s">
        <v>3</v>
      </c>
      <c r="HQ519" t="s">
        <v>3</v>
      </c>
      <c r="IK519">
        <v>0</v>
      </c>
    </row>
    <row r="520" spans="1:245" x14ac:dyDescent="0.2">
      <c r="A520">
        <v>17</v>
      </c>
      <c r="B520">
        <v>1</v>
      </c>
      <c r="D520">
        <f>ROW(EtalonRes!A294)</f>
        <v>294</v>
      </c>
      <c r="E520" t="s">
        <v>364</v>
      </c>
      <c r="F520" t="s">
        <v>76</v>
      </c>
      <c r="G520" t="s">
        <v>295</v>
      </c>
      <c r="H520" t="s">
        <v>53</v>
      </c>
      <c r="I520">
        <f>ROUND((10)*1/100,9)</f>
        <v>0.1</v>
      </c>
      <c r="J520">
        <v>0</v>
      </c>
      <c r="K520">
        <f>ROUND((10)*1/100,9)</f>
        <v>0.1</v>
      </c>
      <c r="O520">
        <f t="shared" si="471"/>
        <v>5778.21</v>
      </c>
      <c r="P520">
        <f t="shared" si="472"/>
        <v>97.43</v>
      </c>
      <c r="Q520">
        <f t="shared" si="473"/>
        <v>0</v>
      </c>
      <c r="R520">
        <f t="shared" si="474"/>
        <v>0</v>
      </c>
      <c r="S520">
        <f t="shared" si="475"/>
        <v>5680.78</v>
      </c>
      <c r="T520">
        <f t="shared" si="476"/>
        <v>0</v>
      </c>
      <c r="U520">
        <f t="shared" si="477"/>
        <v>11.208</v>
      </c>
      <c r="V520">
        <f t="shared" si="478"/>
        <v>0</v>
      </c>
      <c r="W520">
        <f t="shared" si="479"/>
        <v>0</v>
      </c>
      <c r="X520">
        <f t="shared" si="480"/>
        <v>3976.55</v>
      </c>
      <c r="Y520">
        <f t="shared" si="481"/>
        <v>568.08000000000004</v>
      </c>
      <c r="AA520">
        <v>1471718271</v>
      </c>
      <c r="AB520">
        <f t="shared" si="482"/>
        <v>57782.04</v>
      </c>
      <c r="AC520">
        <f>ROUND(((ES520*4)),6)</f>
        <v>974.28</v>
      </c>
      <c r="AD520">
        <f>ROUND(((((ET520*4))-((EU520*4)))+AE520),6)</f>
        <v>0</v>
      </c>
      <c r="AE520">
        <f>ROUND(((EU520*4)),6)</f>
        <v>0</v>
      </c>
      <c r="AF520">
        <f>ROUND(((EV520*4)),6)</f>
        <v>56807.76</v>
      </c>
      <c r="AG520">
        <f t="shared" si="483"/>
        <v>0</v>
      </c>
      <c r="AH520">
        <f>((EW520*4))</f>
        <v>112.08</v>
      </c>
      <c r="AI520">
        <f>((EX520*4))</f>
        <v>0</v>
      </c>
      <c r="AJ520">
        <f t="shared" si="484"/>
        <v>0</v>
      </c>
      <c r="AK520">
        <v>14445.51</v>
      </c>
      <c r="AL520">
        <v>243.57</v>
      </c>
      <c r="AM520">
        <v>0</v>
      </c>
      <c r="AN520">
        <v>0</v>
      </c>
      <c r="AO520">
        <v>14201.94</v>
      </c>
      <c r="AP520">
        <v>0</v>
      </c>
      <c r="AQ520">
        <v>28.02</v>
      </c>
      <c r="AR520">
        <v>0</v>
      </c>
      <c r="AS520">
        <v>0</v>
      </c>
      <c r="AT520">
        <v>70</v>
      </c>
      <c r="AU520">
        <v>10</v>
      </c>
      <c r="AV520">
        <v>1</v>
      </c>
      <c r="AW520">
        <v>1</v>
      </c>
      <c r="AZ520">
        <v>1</v>
      </c>
      <c r="BA520">
        <v>1</v>
      </c>
      <c r="BB520">
        <v>1</v>
      </c>
      <c r="BC520">
        <v>1</v>
      </c>
      <c r="BD520" t="s">
        <v>3</v>
      </c>
      <c r="BE520" t="s">
        <v>3</v>
      </c>
      <c r="BF520" t="s">
        <v>3</v>
      </c>
      <c r="BG520" t="s">
        <v>3</v>
      </c>
      <c r="BH520">
        <v>0</v>
      </c>
      <c r="BI520">
        <v>4</v>
      </c>
      <c r="BJ520" t="s">
        <v>78</v>
      </c>
      <c r="BM520">
        <v>0</v>
      </c>
      <c r="BN520">
        <v>0</v>
      </c>
      <c r="BO520" t="s">
        <v>3</v>
      </c>
      <c r="BP520">
        <v>0</v>
      </c>
      <c r="BQ520">
        <v>1</v>
      </c>
      <c r="BR520">
        <v>0</v>
      </c>
      <c r="BS520">
        <v>1</v>
      </c>
      <c r="BT520">
        <v>1</v>
      </c>
      <c r="BU520">
        <v>1</v>
      </c>
      <c r="BV520">
        <v>1</v>
      </c>
      <c r="BW520">
        <v>1</v>
      </c>
      <c r="BX520">
        <v>1</v>
      </c>
      <c r="BY520" t="s">
        <v>3</v>
      </c>
      <c r="BZ520">
        <v>70</v>
      </c>
      <c r="CA520">
        <v>10</v>
      </c>
      <c r="CB520" t="s">
        <v>3</v>
      </c>
      <c r="CE520">
        <v>0</v>
      </c>
      <c r="CF520">
        <v>0</v>
      </c>
      <c r="CG520">
        <v>0</v>
      </c>
      <c r="CM520">
        <v>0</v>
      </c>
      <c r="CN520" t="s">
        <v>3</v>
      </c>
      <c r="CO520">
        <v>0</v>
      </c>
      <c r="CP520">
        <f t="shared" si="485"/>
        <v>5778.21</v>
      </c>
      <c r="CQ520">
        <f t="shared" si="486"/>
        <v>974.28</v>
      </c>
      <c r="CR520">
        <f>(((((ET520*4))*BB520-((EU520*4))*BS520)+AE520*BS520)*AV520)</f>
        <v>0</v>
      </c>
      <c r="CS520">
        <f t="shared" si="487"/>
        <v>0</v>
      </c>
      <c r="CT520">
        <f t="shared" si="488"/>
        <v>56807.76</v>
      </c>
      <c r="CU520">
        <f t="shared" si="489"/>
        <v>0</v>
      </c>
      <c r="CV520">
        <f t="shared" si="490"/>
        <v>112.08</v>
      </c>
      <c r="CW520">
        <f t="shared" si="491"/>
        <v>0</v>
      </c>
      <c r="CX520">
        <f t="shared" si="492"/>
        <v>0</v>
      </c>
      <c r="CY520">
        <f t="shared" si="493"/>
        <v>3976.5459999999998</v>
      </c>
      <c r="CZ520">
        <f t="shared" si="494"/>
        <v>568.07799999999997</v>
      </c>
      <c r="DC520" t="s">
        <v>3</v>
      </c>
      <c r="DD520" t="s">
        <v>20</v>
      </c>
      <c r="DE520" t="s">
        <v>20</v>
      </c>
      <c r="DF520" t="s">
        <v>20</v>
      </c>
      <c r="DG520" t="s">
        <v>20</v>
      </c>
      <c r="DH520" t="s">
        <v>3</v>
      </c>
      <c r="DI520" t="s">
        <v>20</v>
      </c>
      <c r="DJ520" t="s">
        <v>20</v>
      </c>
      <c r="DK520" t="s">
        <v>3</v>
      </c>
      <c r="DL520" t="s">
        <v>3</v>
      </c>
      <c r="DM520" t="s">
        <v>3</v>
      </c>
      <c r="DN520">
        <v>0</v>
      </c>
      <c r="DO520">
        <v>0</v>
      </c>
      <c r="DP520">
        <v>1</v>
      </c>
      <c r="DQ520">
        <v>1</v>
      </c>
      <c r="DU520">
        <v>16987630</v>
      </c>
      <c r="DV520" t="s">
        <v>53</v>
      </c>
      <c r="DW520" t="s">
        <v>53</v>
      </c>
      <c r="DX520">
        <v>100</v>
      </c>
      <c r="DZ520" t="s">
        <v>3</v>
      </c>
      <c r="EA520" t="s">
        <v>3</v>
      </c>
      <c r="EB520" t="s">
        <v>3</v>
      </c>
      <c r="EC520" t="s">
        <v>3</v>
      </c>
      <c r="EE520">
        <v>1441815344</v>
      </c>
      <c r="EF520">
        <v>1</v>
      </c>
      <c r="EG520" t="s">
        <v>21</v>
      </c>
      <c r="EH520">
        <v>0</v>
      </c>
      <c r="EI520" t="s">
        <v>3</v>
      </c>
      <c r="EJ520">
        <v>4</v>
      </c>
      <c r="EK520">
        <v>0</v>
      </c>
      <c r="EL520" t="s">
        <v>22</v>
      </c>
      <c r="EM520" t="s">
        <v>23</v>
      </c>
      <c r="EO520" t="s">
        <v>3</v>
      </c>
      <c r="EQ520">
        <v>0</v>
      </c>
      <c r="ER520">
        <v>14445.51</v>
      </c>
      <c r="ES520">
        <v>243.57</v>
      </c>
      <c r="ET520">
        <v>0</v>
      </c>
      <c r="EU520">
        <v>0</v>
      </c>
      <c r="EV520">
        <v>14201.94</v>
      </c>
      <c r="EW520">
        <v>28.02</v>
      </c>
      <c r="EX520">
        <v>0</v>
      </c>
      <c r="EY520">
        <v>0</v>
      </c>
      <c r="FQ520">
        <v>0</v>
      </c>
      <c r="FR520">
        <f t="shared" si="495"/>
        <v>0</v>
      </c>
      <c r="FS520">
        <v>0</v>
      </c>
      <c r="FX520">
        <v>70</v>
      </c>
      <c r="FY520">
        <v>10</v>
      </c>
      <c r="GA520" t="s">
        <v>3</v>
      </c>
      <c r="GD520">
        <v>0</v>
      </c>
      <c r="GF520">
        <v>1142762327</v>
      </c>
      <c r="GG520">
        <v>2</v>
      </c>
      <c r="GH520">
        <v>1</v>
      </c>
      <c r="GI520">
        <v>-2</v>
      </c>
      <c r="GJ520">
        <v>0</v>
      </c>
      <c r="GK520">
        <f>ROUND(R520*(R12)/100,2)</f>
        <v>0</v>
      </c>
      <c r="GL520">
        <f t="shared" si="496"/>
        <v>0</v>
      </c>
      <c r="GM520">
        <f t="shared" si="497"/>
        <v>10322.84</v>
      </c>
      <c r="GN520">
        <f t="shared" si="498"/>
        <v>0</v>
      </c>
      <c r="GO520">
        <f t="shared" si="499"/>
        <v>0</v>
      </c>
      <c r="GP520">
        <f t="shared" si="500"/>
        <v>10322.84</v>
      </c>
      <c r="GR520">
        <v>0</v>
      </c>
      <c r="GS520">
        <v>3</v>
      </c>
      <c r="GT520">
        <v>0</v>
      </c>
      <c r="GU520" t="s">
        <v>3</v>
      </c>
      <c r="GV520">
        <f t="shared" si="501"/>
        <v>0</v>
      </c>
      <c r="GW520">
        <v>1</v>
      </c>
      <c r="GX520">
        <f t="shared" si="502"/>
        <v>0</v>
      </c>
      <c r="HA520">
        <v>0</v>
      </c>
      <c r="HB520">
        <v>0</v>
      </c>
      <c r="HC520">
        <f t="shared" si="503"/>
        <v>0</v>
      </c>
      <c r="HE520" t="s">
        <v>3</v>
      </c>
      <c r="HF520" t="s">
        <v>3</v>
      </c>
      <c r="HM520" t="s">
        <v>3</v>
      </c>
      <c r="HN520" t="s">
        <v>3</v>
      </c>
      <c r="HO520" t="s">
        <v>3</v>
      </c>
      <c r="HP520" t="s">
        <v>3</v>
      </c>
      <c r="HQ520" t="s">
        <v>3</v>
      </c>
      <c r="IK520">
        <v>0</v>
      </c>
    </row>
    <row r="521" spans="1:245" x14ac:dyDescent="0.2">
      <c r="A521">
        <v>17</v>
      </c>
      <c r="B521">
        <v>1</v>
      </c>
      <c r="D521">
        <f>ROW(EtalonRes!A295)</f>
        <v>295</v>
      </c>
      <c r="E521" t="s">
        <v>3</v>
      </c>
      <c r="F521" t="s">
        <v>284</v>
      </c>
      <c r="G521" t="s">
        <v>296</v>
      </c>
      <c r="H521" t="s">
        <v>31</v>
      </c>
      <c r="I521">
        <f>ROUND(1*10/10,9)</f>
        <v>1</v>
      </c>
      <c r="J521">
        <v>0</v>
      </c>
      <c r="K521">
        <f>ROUND(1*10/10,9)</f>
        <v>1</v>
      </c>
      <c r="O521">
        <f t="shared" si="471"/>
        <v>2414.34</v>
      </c>
      <c r="P521">
        <f t="shared" si="472"/>
        <v>0</v>
      </c>
      <c r="Q521">
        <f t="shared" si="473"/>
        <v>0</v>
      </c>
      <c r="R521">
        <f t="shared" si="474"/>
        <v>0</v>
      </c>
      <c r="S521">
        <f t="shared" si="475"/>
        <v>2414.34</v>
      </c>
      <c r="T521">
        <f t="shared" si="476"/>
        <v>0</v>
      </c>
      <c r="U521">
        <f t="shared" si="477"/>
        <v>3.91</v>
      </c>
      <c r="V521">
        <f t="shared" si="478"/>
        <v>0</v>
      </c>
      <c r="W521">
        <f t="shared" si="479"/>
        <v>0</v>
      </c>
      <c r="X521">
        <f t="shared" si="480"/>
        <v>1690.04</v>
      </c>
      <c r="Y521">
        <f t="shared" si="481"/>
        <v>241.43</v>
      </c>
      <c r="AA521">
        <v>-1</v>
      </c>
      <c r="AB521">
        <f t="shared" si="482"/>
        <v>2414.34</v>
      </c>
      <c r="AC521">
        <f>ROUND(((ES521*17)),6)</f>
        <v>0</v>
      </c>
      <c r="AD521">
        <f>ROUND(((((ET521*17))-((EU521*17)))+AE521),6)</f>
        <v>0</v>
      </c>
      <c r="AE521">
        <f>ROUND(((EU521*17)),6)</f>
        <v>0</v>
      </c>
      <c r="AF521">
        <f>ROUND(((EV521*17)),6)</f>
        <v>2414.34</v>
      </c>
      <c r="AG521">
        <f t="shared" si="483"/>
        <v>0</v>
      </c>
      <c r="AH521">
        <f>((EW521*17))</f>
        <v>3.91</v>
      </c>
      <c r="AI521">
        <f>((EX521*17))</f>
        <v>0</v>
      </c>
      <c r="AJ521">
        <f t="shared" si="484"/>
        <v>0</v>
      </c>
      <c r="AK521">
        <v>142.02000000000001</v>
      </c>
      <c r="AL521">
        <v>0</v>
      </c>
      <c r="AM521">
        <v>0</v>
      </c>
      <c r="AN521">
        <v>0</v>
      </c>
      <c r="AO521">
        <v>142.02000000000001</v>
      </c>
      <c r="AP521">
        <v>0</v>
      </c>
      <c r="AQ521">
        <v>0.23</v>
      </c>
      <c r="AR521">
        <v>0</v>
      </c>
      <c r="AS521">
        <v>0</v>
      </c>
      <c r="AT521">
        <v>70</v>
      </c>
      <c r="AU521">
        <v>10</v>
      </c>
      <c r="AV521">
        <v>1</v>
      </c>
      <c r="AW521">
        <v>1</v>
      </c>
      <c r="AZ521">
        <v>1</v>
      </c>
      <c r="BA521">
        <v>1</v>
      </c>
      <c r="BB521">
        <v>1</v>
      </c>
      <c r="BC521">
        <v>1</v>
      </c>
      <c r="BD521" t="s">
        <v>3</v>
      </c>
      <c r="BE521" t="s">
        <v>3</v>
      </c>
      <c r="BF521" t="s">
        <v>3</v>
      </c>
      <c r="BG521" t="s">
        <v>3</v>
      </c>
      <c r="BH521">
        <v>0</v>
      </c>
      <c r="BI521">
        <v>4</v>
      </c>
      <c r="BJ521" t="s">
        <v>286</v>
      </c>
      <c r="BM521">
        <v>0</v>
      </c>
      <c r="BN521">
        <v>0</v>
      </c>
      <c r="BO521" t="s">
        <v>3</v>
      </c>
      <c r="BP521">
        <v>0</v>
      </c>
      <c r="BQ521">
        <v>1</v>
      </c>
      <c r="BR521">
        <v>0</v>
      </c>
      <c r="BS521">
        <v>1</v>
      </c>
      <c r="BT521">
        <v>1</v>
      </c>
      <c r="BU521">
        <v>1</v>
      </c>
      <c r="BV521">
        <v>1</v>
      </c>
      <c r="BW521">
        <v>1</v>
      </c>
      <c r="BX521">
        <v>1</v>
      </c>
      <c r="BY521" t="s">
        <v>3</v>
      </c>
      <c r="BZ521">
        <v>70</v>
      </c>
      <c r="CA521">
        <v>10</v>
      </c>
      <c r="CB521" t="s">
        <v>3</v>
      </c>
      <c r="CE521">
        <v>0</v>
      </c>
      <c r="CF521">
        <v>0</v>
      </c>
      <c r="CG521">
        <v>0</v>
      </c>
      <c r="CM521">
        <v>0</v>
      </c>
      <c r="CN521" t="s">
        <v>3</v>
      </c>
      <c r="CO521">
        <v>0</v>
      </c>
      <c r="CP521">
        <f t="shared" si="485"/>
        <v>2414.34</v>
      </c>
      <c r="CQ521">
        <f t="shared" si="486"/>
        <v>0</v>
      </c>
      <c r="CR521">
        <f>(((((ET521*17))*BB521-((EU521*17))*BS521)+AE521*BS521)*AV521)</f>
        <v>0</v>
      </c>
      <c r="CS521">
        <f t="shared" si="487"/>
        <v>0</v>
      </c>
      <c r="CT521">
        <f t="shared" si="488"/>
        <v>2414.34</v>
      </c>
      <c r="CU521">
        <f t="shared" si="489"/>
        <v>0</v>
      </c>
      <c r="CV521">
        <f t="shared" si="490"/>
        <v>3.91</v>
      </c>
      <c r="CW521">
        <f t="shared" si="491"/>
        <v>0</v>
      </c>
      <c r="CX521">
        <f t="shared" si="492"/>
        <v>0</v>
      </c>
      <c r="CY521">
        <f t="shared" si="493"/>
        <v>1690.0380000000002</v>
      </c>
      <c r="CZ521">
        <f t="shared" si="494"/>
        <v>241.43400000000003</v>
      </c>
      <c r="DC521" t="s">
        <v>3</v>
      </c>
      <c r="DD521" t="s">
        <v>46</v>
      </c>
      <c r="DE521" t="s">
        <v>46</v>
      </c>
      <c r="DF521" t="s">
        <v>46</v>
      </c>
      <c r="DG521" t="s">
        <v>46</v>
      </c>
      <c r="DH521" t="s">
        <v>3</v>
      </c>
      <c r="DI521" t="s">
        <v>46</v>
      </c>
      <c r="DJ521" t="s">
        <v>46</v>
      </c>
      <c r="DK521" t="s">
        <v>3</v>
      </c>
      <c r="DL521" t="s">
        <v>3</v>
      </c>
      <c r="DM521" t="s">
        <v>3</v>
      </c>
      <c r="DN521">
        <v>0</v>
      </c>
      <c r="DO521">
        <v>0</v>
      </c>
      <c r="DP521">
        <v>1</v>
      </c>
      <c r="DQ521">
        <v>1</v>
      </c>
      <c r="DU521">
        <v>16987630</v>
      </c>
      <c r="DV521" t="s">
        <v>31</v>
      </c>
      <c r="DW521" t="s">
        <v>31</v>
      </c>
      <c r="DX521">
        <v>10</v>
      </c>
      <c r="DZ521" t="s">
        <v>3</v>
      </c>
      <c r="EA521" t="s">
        <v>3</v>
      </c>
      <c r="EB521" t="s">
        <v>3</v>
      </c>
      <c r="EC521" t="s">
        <v>3</v>
      </c>
      <c r="EE521">
        <v>1441815344</v>
      </c>
      <c r="EF521">
        <v>1</v>
      </c>
      <c r="EG521" t="s">
        <v>21</v>
      </c>
      <c r="EH521">
        <v>0</v>
      </c>
      <c r="EI521" t="s">
        <v>3</v>
      </c>
      <c r="EJ521">
        <v>4</v>
      </c>
      <c r="EK521">
        <v>0</v>
      </c>
      <c r="EL521" t="s">
        <v>22</v>
      </c>
      <c r="EM521" t="s">
        <v>23</v>
      </c>
      <c r="EO521" t="s">
        <v>3</v>
      </c>
      <c r="EQ521">
        <v>1024</v>
      </c>
      <c r="ER521">
        <v>142.02000000000001</v>
      </c>
      <c r="ES521">
        <v>0</v>
      </c>
      <c r="ET521">
        <v>0</v>
      </c>
      <c r="EU521">
        <v>0</v>
      </c>
      <c r="EV521">
        <v>142.02000000000001</v>
      </c>
      <c r="EW521">
        <v>0.23</v>
      </c>
      <c r="EX521">
        <v>0</v>
      </c>
      <c r="EY521">
        <v>0</v>
      </c>
      <c r="FQ521">
        <v>0</v>
      </c>
      <c r="FR521">
        <f t="shared" si="495"/>
        <v>0</v>
      </c>
      <c r="FS521">
        <v>0</v>
      </c>
      <c r="FX521">
        <v>70</v>
      </c>
      <c r="FY521">
        <v>10</v>
      </c>
      <c r="GA521" t="s">
        <v>3</v>
      </c>
      <c r="GD521">
        <v>0</v>
      </c>
      <c r="GF521">
        <v>-1595862643</v>
      </c>
      <c r="GG521">
        <v>2</v>
      </c>
      <c r="GH521">
        <v>1</v>
      </c>
      <c r="GI521">
        <v>-2</v>
      </c>
      <c r="GJ521">
        <v>0</v>
      </c>
      <c r="GK521">
        <f>ROUND(R521*(R12)/100,2)</f>
        <v>0</v>
      </c>
      <c r="GL521">
        <f t="shared" si="496"/>
        <v>0</v>
      </c>
      <c r="GM521">
        <f t="shared" si="497"/>
        <v>4345.8100000000004</v>
      </c>
      <c r="GN521">
        <f t="shared" si="498"/>
        <v>0</v>
      </c>
      <c r="GO521">
        <f t="shared" si="499"/>
        <v>0</v>
      </c>
      <c r="GP521">
        <f t="shared" si="500"/>
        <v>4345.8100000000004</v>
      </c>
      <c r="GR521">
        <v>0</v>
      </c>
      <c r="GS521">
        <v>3</v>
      </c>
      <c r="GT521">
        <v>0</v>
      </c>
      <c r="GU521" t="s">
        <v>3</v>
      </c>
      <c r="GV521">
        <f t="shared" si="501"/>
        <v>0</v>
      </c>
      <c r="GW521">
        <v>1</v>
      </c>
      <c r="GX521">
        <f t="shared" si="502"/>
        <v>0</v>
      </c>
      <c r="HA521">
        <v>0</v>
      </c>
      <c r="HB521">
        <v>0</v>
      </c>
      <c r="HC521">
        <f t="shared" si="503"/>
        <v>0</v>
      </c>
      <c r="HE521" t="s">
        <v>3</v>
      </c>
      <c r="HF521" t="s">
        <v>3</v>
      </c>
      <c r="HM521" t="s">
        <v>3</v>
      </c>
      <c r="HN521" t="s">
        <v>3</v>
      </c>
      <c r="HO521" t="s">
        <v>3</v>
      </c>
      <c r="HP521" t="s">
        <v>3</v>
      </c>
      <c r="HQ521" t="s">
        <v>3</v>
      </c>
      <c r="IK521">
        <v>0</v>
      </c>
    </row>
    <row r="522" spans="1:245" x14ac:dyDescent="0.2">
      <c r="A522">
        <v>17</v>
      </c>
      <c r="B522">
        <v>1</v>
      </c>
      <c r="D522">
        <f>ROW(EtalonRes!A297)</f>
        <v>297</v>
      </c>
      <c r="E522" t="s">
        <v>365</v>
      </c>
      <c r="F522" t="s">
        <v>39</v>
      </c>
      <c r="G522" t="s">
        <v>298</v>
      </c>
      <c r="H522" t="s">
        <v>36</v>
      </c>
      <c r="I522">
        <f>ROUND((1)*10,9)</f>
        <v>10</v>
      </c>
      <c r="J522">
        <v>0</v>
      </c>
      <c r="K522">
        <f>ROUND((1)*10,9)</f>
        <v>10</v>
      </c>
      <c r="O522">
        <f t="shared" si="471"/>
        <v>2861.8</v>
      </c>
      <c r="P522">
        <f t="shared" si="472"/>
        <v>0</v>
      </c>
      <c r="Q522">
        <f t="shared" si="473"/>
        <v>781.8</v>
      </c>
      <c r="R522">
        <f t="shared" si="474"/>
        <v>495.7</v>
      </c>
      <c r="S522">
        <f t="shared" si="475"/>
        <v>2080</v>
      </c>
      <c r="T522">
        <f t="shared" si="476"/>
        <v>0</v>
      </c>
      <c r="U522">
        <f t="shared" si="477"/>
        <v>3.7</v>
      </c>
      <c r="V522">
        <f t="shared" si="478"/>
        <v>0</v>
      </c>
      <c r="W522">
        <f t="shared" si="479"/>
        <v>0</v>
      </c>
      <c r="X522">
        <f t="shared" si="480"/>
        <v>1456</v>
      </c>
      <c r="Y522">
        <f t="shared" si="481"/>
        <v>208</v>
      </c>
      <c r="AA522">
        <v>1471718271</v>
      </c>
      <c r="AB522">
        <f t="shared" si="482"/>
        <v>286.18</v>
      </c>
      <c r="AC522">
        <f>ROUND((ES522),6)</f>
        <v>0</v>
      </c>
      <c r="AD522">
        <f>ROUND((((ET522)-(EU522))+AE522),6)</f>
        <v>78.180000000000007</v>
      </c>
      <c r="AE522">
        <f>ROUND((EU522),6)</f>
        <v>49.57</v>
      </c>
      <c r="AF522">
        <f>ROUND((EV522),6)</f>
        <v>208</v>
      </c>
      <c r="AG522">
        <f t="shared" si="483"/>
        <v>0</v>
      </c>
      <c r="AH522">
        <f>(EW522)</f>
        <v>0.37</v>
      </c>
      <c r="AI522">
        <f>(EX522)</f>
        <v>0</v>
      </c>
      <c r="AJ522">
        <f t="shared" si="484"/>
        <v>0</v>
      </c>
      <c r="AK522">
        <v>286.18</v>
      </c>
      <c r="AL522">
        <v>0</v>
      </c>
      <c r="AM522">
        <v>78.180000000000007</v>
      </c>
      <c r="AN522">
        <v>49.57</v>
      </c>
      <c r="AO522">
        <v>208</v>
      </c>
      <c r="AP522">
        <v>0</v>
      </c>
      <c r="AQ522">
        <v>0.37</v>
      </c>
      <c r="AR522">
        <v>0</v>
      </c>
      <c r="AS522">
        <v>0</v>
      </c>
      <c r="AT522">
        <v>70</v>
      </c>
      <c r="AU522">
        <v>10</v>
      </c>
      <c r="AV522">
        <v>1</v>
      </c>
      <c r="AW522">
        <v>1</v>
      </c>
      <c r="AZ522">
        <v>1</v>
      </c>
      <c r="BA522">
        <v>1</v>
      </c>
      <c r="BB522">
        <v>1</v>
      </c>
      <c r="BC522">
        <v>1</v>
      </c>
      <c r="BD522" t="s">
        <v>3</v>
      </c>
      <c r="BE522" t="s">
        <v>3</v>
      </c>
      <c r="BF522" t="s">
        <v>3</v>
      </c>
      <c r="BG522" t="s">
        <v>3</v>
      </c>
      <c r="BH522">
        <v>0</v>
      </c>
      <c r="BI522">
        <v>4</v>
      </c>
      <c r="BJ522" t="s">
        <v>41</v>
      </c>
      <c r="BM522">
        <v>0</v>
      </c>
      <c r="BN522">
        <v>0</v>
      </c>
      <c r="BO522" t="s">
        <v>3</v>
      </c>
      <c r="BP522">
        <v>0</v>
      </c>
      <c r="BQ522">
        <v>1</v>
      </c>
      <c r="BR522">
        <v>0</v>
      </c>
      <c r="BS522">
        <v>1</v>
      </c>
      <c r="BT522">
        <v>1</v>
      </c>
      <c r="BU522">
        <v>1</v>
      </c>
      <c r="BV522">
        <v>1</v>
      </c>
      <c r="BW522">
        <v>1</v>
      </c>
      <c r="BX522">
        <v>1</v>
      </c>
      <c r="BY522" t="s">
        <v>3</v>
      </c>
      <c r="BZ522">
        <v>70</v>
      </c>
      <c r="CA522">
        <v>10</v>
      </c>
      <c r="CB522" t="s">
        <v>3</v>
      </c>
      <c r="CE522">
        <v>0</v>
      </c>
      <c r="CF522">
        <v>0</v>
      </c>
      <c r="CG522">
        <v>0</v>
      </c>
      <c r="CM522">
        <v>0</v>
      </c>
      <c r="CN522" t="s">
        <v>3</v>
      </c>
      <c r="CO522">
        <v>0</v>
      </c>
      <c r="CP522">
        <f t="shared" si="485"/>
        <v>2861.8</v>
      </c>
      <c r="CQ522">
        <f t="shared" si="486"/>
        <v>0</v>
      </c>
      <c r="CR522">
        <f>((((ET522)*BB522-(EU522)*BS522)+AE522*BS522)*AV522)</f>
        <v>78.180000000000007</v>
      </c>
      <c r="CS522">
        <f t="shared" si="487"/>
        <v>49.57</v>
      </c>
      <c r="CT522">
        <f t="shared" si="488"/>
        <v>208</v>
      </c>
      <c r="CU522">
        <f t="shared" si="489"/>
        <v>0</v>
      </c>
      <c r="CV522">
        <f t="shared" si="490"/>
        <v>0.37</v>
      </c>
      <c r="CW522">
        <f t="shared" si="491"/>
        <v>0</v>
      </c>
      <c r="CX522">
        <f t="shared" si="492"/>
        <v>0</v>
      </c>
      <c r="CY522">
        <f t="shared" si="493"/>
        <v>1456</v>
      </c>
      <c r="CZ522">
        <f t="shared" si="494"/>
        <v>208</v>
      </c>
      <c r="DC522" t="s">
        <v>3</v>
      </c>
      <c r="DD522" t="s">
        <v>3</v>
      </c>
      <c r="DE522" t="s">
        <v>3</v>
      </c>
      <c r="DF522" t="s">
        <v>3</v>
      </c>
      <c r="DG522" t="s">
        <v>3</v>
      </c>
      <c r="DH522" t="s">
        <v>3</v>
      </c>
      <c r="DI522" t="s">
        <v>3</v>
      </c>
      <c r="DJ522" t="s">
        <v>3</v>
      </c>
      <c r="DK522" t="s">
        <v>3</v>
      </c>
      <c r="DL522" t="s">
        <v>3</v>
      </c>
      <c r="DM522" t="s">
        <v>3</v>
      </c>
      <c r="DN522">
        <v>0</v>
      </c>
      <c r="DO522">
        <v>0</v>
      </c>
      <c r="DP522">
        <v>1</v>
      </c>
      <c r="DQ522">
        <v>1</v>
      </c>
      <c r="DU522">
        <v>16987630</v>
      </c>
      <c r="DV522" t="s">
        <v>36</v>
      </c>
      <c r="DW522" t="s">
        <v>36</v>
      </c>
      <c r="DX522">
        <v>1</v>
      </c>
      <c r="DZ522" t="s">
        <v>3</v>
      </c>
      <c r="EA522" t="s">
        <v>3</v>
      </c>
      <c r="EB522" t="s">
        <v>3</v>
      </c>
      <c r="EC522" t="s">
        <v>3</v>
      </c>
      <c r="EE522">
        <v>1441815344</v>
      </c>
      <c r="EF522">
        <v>1</v>
      </c>
      <c r="EG522" t="s">
        <v>21</v>
      </c>
      <c r="EH522">
        <v>0</v>
      </c>
      <c r="EI522" t="s">
        <v>3</v>
      </c>
      <c r="EJ522">
        <v>4</v>
      </c>
      <c r="EK522">
        <v>0</v>
      </c>
      <c r="EL522" t="s">
        <v>22</v>
      </c>
      <c r="EM522" t="s">
        <v>23</v>
      </c>
      <c r="EO522" t="s">
        <v>3</v>
      </c>
      <c r="EQ522">
        <v>0</v>
      </c>
      <c r="ER522">
        <v>286.18</v>
      </c>
      <c r="ES522">
        <v>0</v>
      </c>
      <c r="ET522">
        <v>78.180000000000007</v>
      </c>
      <c r="EU522">
        <v>49.57</v>
      </c>
      <c r="EV522">
        <v>208</v>
      </c>
      <c r="EW522">
        <v>0.37</v>
      </c>
      <c r="EX522">
        <v>0</v>
      </c>
      <c r="EY522">
        <v>0</v>
      </c>
      <c r="FQ522">
        <v>0</v>
      </c>
      <c r="FR522">
        <f t="shared" si="495"/>
        <v>0</v>
      </c>
      <c r="FS522">
        <v>0</v>
      </c>
      <c r="FX522">
        <v>70</v>
      </c>
      <c r="FY522">
        <v>10</v>
      </c>
      <c r="GA522" t="s">
        <v>3</v>
      </c>
      <c r="GD522">
        <v>0</v>
      </c>
      <c r="GF522">
        <v>1876420603</v>
      </c>
      <c r="GG522">
        <v>2</v>
      </c>
      <c r="GH522">
        <v>1</v>
      </c>
      <c r="GI522">
        <v>-2</v>
      </c>
      <c r="GJ522">
        <v>0</v>
      </c>
      <c r="GK522">
        <f>ROUND(R522*(R12)/100,2)</f>
        <v>535.36</v>
      </c>
      <c r="GL522">
        <f t="shared" si="496"/>
        <v>0</v>
      </c>
      <c r="GM522">
        <f t="shared" si="497"/>
        <v>5061.16</v>
      </c>
      <c r="GN522">
        <f t="shared" si="498"/>
        <v>0</v>
      </c>
      <c r="GO522">
        <f t="shared" si="499"/>
        <v>0</v>
      </c>
      <c r="GP522">
        <f t="shared" si="500"/>
        <v>5061.16</v>
      </c>
      <c r="GR522">
        <v>0</v>
      </c>
      <c r="GS522">
        <v>3</v>
      </c>
      <c r="GT522">
        <v>0</v>
      </c>
      <c r="GU522" t="s">
        <v>3</v>
      </c>
      <c r="GV522">
        <f t="shared" si="501"/>
        <v>0</v>
      </c>
      <c r="GW522">
        <v>1</v>
      </c>
      <c r="GX522">
        <f t="shared" si="502"/>
        <v>0</v>
      </c>
      <c r="HA522">
        <v>0</v>
      </c>
      <c r="HB522">
        <v>0</v>
      </c>
      <c r="HC522">
        <f t="shared" si="503"/>
        <v>0</v>
      </c>
      <c r="HE522" t="s">
        <v>3</v>
      </c>
      <c r="HF522" t="s">
        <v>3</v>
      </c>
      <c r="HM522" t="s">
        <v>3</v>
      </c>
      <c r="HN522" t="s">
        <v>3</v>
      </c>
      <c r="HO522" t="s">
        <v>3</v>
      </c>
      <c r="HP522" t="s">
        <v>3</v>
      </c>
      <c r="HQ522" t="s">
        <v>3</v>
      </c>
      <c r="IK522">
        <v>0</v>
      </c>
    </row>
    <row r="523" spans="1:245" x14ac:dyDescent="0.2">
      <c r="A523">
        <v>17</v>
      </c>
      <c r="B523">
        <v>1</v>
      </c>
      <c r="D523">
        <f>ROW(EtalonRes!A298)</f>
        <v>298</v>
      </c>
      <c r="E523" t="s">
        <v>3</v>
      </c>
      <c r="F523" t="s">
        <v>79</v>
      </c>
      <c r="G523" t="s">
        <v>80</v>
      </c>
      <c r="H523" t="s">
        <v>36</v>
      </c>
      <c r="I523">
        <f>ROUND(10,9)</f>
        <v>10</v>
      </c>
      <c r="J523">
        <v>0</v>
      </c>
      <c r="K523">
        <f>ROUND(10,9)</f>
        <v>10</v>
      </c>
      <c r="O523">
        <f t="shared" si="471"/>
        <v>3210.8</v>
      </c>
      <c r="P523">
        <f t="shared" si="472"/>
        <v>0</v>
      </c>
      <c r="Q523">
        <f t="shared" si="473"/>
        <v>0</v>
      </c>
      <c r="R523">
        <f t="shared" si="474"/>
        <v>0</v>
      </c>
      <c r="S523">
        <f t="shared" si="475"/>
        <v>3210.8</v>
      </c>
      <c r="T523">
        <f t="shared" si="476"/>
        <v>0</v>
      </c>
      <c r="U523">
        <f t="shared" si="477"/>
        <v>5.2</v>
      </c>
      <c r="V523">
        <f t="shared" si="478"/>
        <v>0</v>
      </c>
      <c r="W523">
        <f t="shared" si="479"/>
        <v>0</v>
      </c>
      <c r="X523">
        <f t="shared" si="480"/>
        <v>2247.56</v>
      </c>
      <c r="Y523">
        <f t="shared" si="481"/>
        <v>321.08</v>
      </c>
      <c r="AA523">
        <v>-1</v>
      </c>
      <c r="AB523">
        <f t="shared" si="482"/>
        <v>321.08</v>
      </c>
      <c r="AC523">
        <f>ROUND(((ES523*4)),6)</f>
        <v>0</v>
      </c>
      <c r="AD523">
        <f>ROUND(((((ET523*4))-((EU523*4)))+AE523),6)</f>
        <v>0</v>
      </c>
      <c r="AE523">
        <f t="shared" ref="AE523:AF525" si="506">ROUND(((EU523*4)),6)</f>
        <v>0</v>
      </c>
      <c r="AF523">
        <f t="shared" si="506"/>
        <v>321.08</v>
      </c>
      <c r="AG523">
        <f t="shared" si="483"/>
        <v>0</v>
      </c>
      <c r="AH523">
        <f t="shared" ref="AH523:AI525" si="507">((EW523*4))</f>
        <v>0.52</v>
      </c>
      <c r="AI523">
        <f t="shared" si="507"/>
        <v>0</v>
      </c>
      <c r="AJ523">
        <f t="shared" si="484"/>
        <v>0</v>
      </c>
      <c r="AK523">
        <v>80.27</v>
      </c>
      <c r="AL523">
        <v>0</v>
      </c>
      <c r="AM523">
        <v>0</v>
      </c>
      <c r="AN523">
        <v>0</v>
      </c>
      <c r="AO523">
        <v>80.27</v>
      </c>
      <c r="AP523">
        <v>0</v>
      </c>
      <c r="AQ523">
        <v>0.13</v>
      </c>
      <c r="AR523">
        <v>0</v>
      </c>
      <c r="AS523">
        <v>0</v>
      </c>
      <c r="AT523">
        <v>70</v>
      </c>
      <c r="AU523">
        <v>10</v>
      </c>
      <c r="AV523">
        <v>1</v>
      </c>
      <c r="AW523">
        <v>1</v>
      </c>
      <c r="AZ523">
        <v>1</v>
      </c>
      <c r="BA523">
        <v>1</v>
      </c>
      <c r="BB523">
        <v>1</v>
      </c>
      <c r="BC523">
        <v>1</v>
      </c>
      <c r="BD523" t="s">
        <v>3</v>
      </c>
      <c r="BE523" t="s">
        <v>3</v>
      </c>
      <c r="BF523" t="s">
        <v>3</v>
      </c>
      <c r="BG523" t="s">
        <v>3</v>
      </c>
      <c r="BH523">
        <v>0</v>
      </c>
      <c r="BI523">
        <v>4</v>
      </c>
      <c r="BJ523" t="s">
        <v>81</v>
      </c>
      <c r="BM523">
        <v>0</v>
      </c>
      <c r="BN523">
        <v>0</v>
      </c>
      <c r="BO523" t="s">
        <v>3</v>
      </c>
      <c r="BP523">
        <v>0</v>
      </c>
      <c r="BQ523">
        <v>1</v>
      </c>
      <c r="BR523">
        <v>0</v>
      </c>
      <c r="BS523">
        <v>1</v>
      </c>
      <c r="BT523">
        <v>1</v>
      </c>
      <c r="BU523">
        <v>1</v>
      </c>
      <c r="BV523">
        <v>1</v>
      </c>
      <c r="BW523">
        <v>1</v>
      </c>
      <c r="BX523">
        <v>1</v>
      </c>
      <c r="BY523" t="s">
        <v>3</v>
      </c>
      <c r="BZ523">
        <v>70</v>
      </c>
      <c r="CA523">
        <v>10</v>
      </c>
      <c r="CB523" t="s">
        <v>3</v>
      </c>
      <c r="CE523">
        <v>0</v>
      </c>
      <c r="CF523">
        <v>0</v>
      </c>
      <c r="CG523">
        <v>0</v>
      </c>
      <c r="CM523">
        <v>0</v>
      </c>
      <c r="CN523" t="s">
        <v>3</v>
      </c>
      <c r="CO523">
        <v>0</v>
      </c>
      <c r="CP523">
        <f t="shared" si="485"/>
        <v>3210.8</v>
      </c>
      <c r="CQ523">
        <f t="shared" si="486"/>
        <v>0</v>
      </c>
      <c r="CR523">
        <f>(((((ET523*4))*BB523-((EU523*4))*BS523)+AE523*BS523)*AV523)</f>
        <v>0</v>
      </c>
      <c r="CS523">
        <f t="shared" si="487"/>
        <v>0</v>
      </c>
      <c r="CT523">
        <f t="shared" si="488"/>
        <v>321.08</v>
      </c>
      <c r="CU523">
        <f t="shared" si="489"/>
        <v>0</v>
      </c>
      <c r="CV523">
        <f t="shared" si="490"/>
        <v>0.52</v>
      </c>
      <c r="CW523">
        <f t="shared" si="491"/>
        <v>0</v>
      </c>
      <c r="CX523">
        <f t="shared" si="492"/>
        <v>0</v>
      </c>
      <c r="CY523">
        <f t="shared" si="493"/>
        <v>2247.56</v>
      </c>
      <c r="CZ523">
        <f t="shared" si="494"/>
        <v>321.08</v>
      </c>
      <c r="DC523" t="s">
        <v>3</v>
      </c>
      <c r="DD523" t="s">
        <v>20</v>
      </c>
      <c r="DE523" t="s">
        <v>20</v>
      </c>
      <c r="DF523" t="s">
        <v>20</v>
      </c>
      <c r="DG523" t="s">
        <v>20</v>
      </c>
      <c r="DH523" t="s">
        <v>3</v>
      </c>
      <c r="DI523" t="s">
        <v>20</v>
      </c>
      <c r="DJ523" t="s">
        <v>20</v>
      </c>
      <c r="DK523" t="s">
        <v>3</v>
      </c>
      <c r="DL523" t="s">
        <v>3</v>
      </c>
      <c r="DM523" t="s">
        <v>3</v>
      </c>
      <c r="DN523">
        <v>0</v>
      </c>
      <c r="DO523">
        <v>0</v>
      </c>
      <c r="DP523">
        <v>1</v>
      </c>
      <c r="DQ523">
        <v>1</v>
      </c>
      <c r="DU523">
        <v>16987630</v>
      </c>
      <c r="DV523" t="s">
        <v>36</v>
      </c>
      <c r="DW523" t="s">
        <v>36</v>
      </c>
      <c r="DX523">
        <v>1</v>
      </c>
      <c r="DZ523" t="s">
        <v>3</v>
      </c>
      <c r="EA523" t="s">
        <v>3</v>
      </c>
      <c r="EB523" t="s">
        <v>3</v>
      </c>
      <c r="EC523" t="s">
        <v>3</v>
      </c>
      <c r="EE523">
        <v>1441815344</v>
      </c>
      <c r="EF523">
        <v>1</v>
      </c>
      <c r="EG523" t="s">
        <v>21</v>
      </c>
      <c r="EH523">
        <v>0</v>
      </c>
      <c r="EI523" t="s">
        <v>3</v>
      </c>
      <c r="EJ523">
        <v>4</v>
      </c>
      <c r="EK523">
        <v>0</v>
      </c>
      <c r="EL523" t="s">
        <v>22</v>
      </c>
      <c r="EM523" t="s">
        <v>23</v>
      </c>
      <c r="EO523" t="s">
        <v>3</v>
      </c>
      <c r="EQ523">
        <v>1024</v>
      </c>
      <c r="ER523">
        <v>80.27</v>
      </c>
      <c r="ES523">
        <v>0</v>
      </c>
      <c r="ET523">
        <v>0</v>
      </c>
      <c r="EU523">
        <v>0</v>
      </c>
      <c r="EV523">
        <v>80.27</v>
      </c>
      <c r="EW523">
        <v>0.13</v>
      </c>
      <c r="EX523">
        <v>0</v>
      </c>
      <c r="EY523">
        <v>0</v>
      </c>
      <c r="FQ523">
        <v>0</v>
      </c>
      <c r="FR523">
        <f t="shared" si="495"/>
        <v>0</v>
      </c>
      <c r="FS523">
        <v>0</v>
      </c>
      <c r="FX523">
        <v>70</v>
      </c>
      <c r="FY523">
        <v>10</v>
      </c>
      <c r="GA523" t="s">
        <v>3</v>
      </c>
      <c r="GD523">
        <v>0</v>
      </c>
      <c r="GF523">
        <v>1384570016</v>
      </c>
      <c r="GG523">
        <v>2</v>
      </c>
      <c r="GH523">
        <v>1</v>
      </c>
      <c r="GI523">
        <v>-2</v>
      </c>
      <c r="GJ523">
        <v>0</v>
      </c>
      <c r="GK523">
        <f>ROUND(R523*(R12)/100,2)</f>
        <v>0</v>
      </c>
      <c r="GL523">
        <f t="shared" si="496"/>
        <v>0</v>
      </c>
      <c r="GM523">
        <f t="shared" si="497"/>
        <v>5779.44</v>
      </c>
      <c r="GN523">
        <f t="shared" si="498"/>
        <v>0</v>
      </c>
      <c r="GO523">
        <f t="shared" si="499"/>
        <v>0</v>
      </c>
      <c r="GP523">
        <f t="shared" si="500"/>
        <v>5779.44</v>
      </c>
      <c r="GR523">
        <v>0</v>
      </c>
      <c r="GS523">
        <v>3</v>
      </c>
      <c r="GT523">
        <v>0</v>
      </c>
      <c r="GU523" t="s">
        <v>3</v>
      </c>
      <c r="GV523">
        <f t="shared" si="501"/>
        <v>0</v>
      </c>
      <c r="GW523">
        <v>1</v>
      </c>
      <c r="GX523">
        <f t="shared" si="502"/>
        <v>0</v>
      </c>
      <c r="HA523">
        <v>0</v>
      </c>
      <c r="HB523">
        <v>0</v>
      </c>
      <c r="HC523">
        <f t="shared" si="503"/>
        <v>0</v>
      </c>
      <c r="HE523" t="s">
        <v>3</v>
      </c>
      <c r="HF523" t="s">
        <v>3</v>
      </c>
      <c r="HM523" t="s">
        <v>3</v>
      </c>
      <c r="HN523" t="s">
        <v>3</v>
      </c>
      <c r="HO523" t="s">
        <v>3</v>
      </c>
      <c r="HP523" t="s">
        <v>3</v>
      </c>
      <c r="HQ523" t="s">
        <v>3</v>
      </c>
      <c r="IK523">
        <v>0</v>
      </c>
    </row>
    <row r="524" spans="1:245" x14ac:dyDescent="0.2">
      <c r="A524">
        <v>17</v>
      </c>
      <c r="B524">
        <v>1</v>
      </c>
      <c r="D524">
        <f>ROW(EtalonRes!A299)</f>
        <v>299</v>
      </c>
      <c r="E524" t="s">
        <v>3</v>
      </c>
      <c r="F524" t="s">
        <v>16</v>
      </c>
      <c r="G524" t="s">
        <v>17</v>
      </c>
      <c r="H524" t="s">
        <v>18</v>
      </c>
      <c r="I524">
        <f>ROUND(ROUND((30+6+2)*10*0.1/100,9),9)</f>
        <v>0.38</v>
      </c>
      <c r="J524">
        <v>0</v>
      </c>
      <c r="K524">
        <f>ROUND(ROUND((30+6+2)*10*0.1/100,9),9)</f>
        <v>0.38</v>
      </c>
      <c r="O524">
        <f t="shared" si="471"/>
        <v>769.04</v>
      </c>
      <c r="P524">
        <f t="shared" si="472"/>
        <v>0</v>
      </c>
      <c r="Q524">
        <f t="shared" si="473"/>
        <v>0</v>
      </c>
      <c r="R524">
        <f t="shared" si="474"/>
        <v>0</v>
      </c>
      <c r="S524">
        <f t="shared" si="475"/>
        <v>769.04</v>
      </c>
      <c r="T524">
        <f t="shared" si="476"/>
        <v>0</v>
      </c>
      <c r="U524">
        <f t="shared" si="477"/>
        <v>1.3680000000000001</v>
      </c>
      <c r="V524">
        <f t="shared" si="478"/>
        <v>0</v>
      </c>
      <c r="W524">
        <f t="shared" si="479"/>
        <v>0</v>
      </c>
      <c r="X524">
        <f t="shared" si="480"/>
        <v>538.33000000000004</v>
      </c>
      <c r="Y524">
        <f t="shared" si="481"/>
        <v>76.900000000000006</v>
      </c>
      <c r="AA524">
        <v>-1</v>
      </c>
      <c r="AB524">
        <f t="shared" si="482"/>
        <v>2023.8</v>
      </c>
      <c r="AC524">
        <f>ROUND(((ES524*4)),6)</f>
        <v>0</v>
      </c>
      <c r="AD524">
        <f>ROUND(((((ET524*4))-((EU524*4)))+AE524),6)</f>
        <v>0</v>
      </c>
      <c r="AE524">
        <f t="shared" si="506"/>
        <v>0</v>
      </c>
      <c r="AF524">
        <f t="shared" si="506"/>
        <v>2023.8</v>
      </c>
      <c r="AG524">
        <f t="shared" si="483"/>
        <v>0</v>
      </c>
      <c r="AH524">
        <f t="shared" si="507"/>
        <v>3.6</v>
      </c>
      <c r="AI524">
        <f t="shared" si="507"/>
        <v>0</v>
      </c>
      <c r="AJ524">
        <f t="shared" si="484"/>
        <v>0</v>
      </c>
      <c r="AK524">
        <v>505.95</v>
      </c>
      <c r="AL524">
        <v>0</v>
      </c>
      <c r="AM524">
        <v>0</v>
      </c>
      <c r="AN524">
        <v>0</v>
      </c>
      <c r="AO524">
        <v>505.95</v>
      </c>
      <c r="AP524">
        <v>0</v>
      </c>
      <c r="AQ524">
        <v>0.9</v>
      </c>
      <c r="AR524">
        <v>0</v>
      </c>
      <c r="AS524">
        <v>0</v>
      </c>
      <c r="AT524">
        <v>70</v>
      </c>
      <c r="AU524">
        <v>10</v>
      </c>
      <c r="AV524">
        <v>1</v>
      </c>
      <c r="AW524">
        <v>1</v>
      </c>
      <c r="AZ524">
        <v>1</v>
      </c>
      <c r="BA524">
        <v>1</v>
      </c>
      <c r="BB524">
        <v>1</v>
      </c>
      <c r="BC524">
        <v>1</v>
      </c>
      <c r="BD524" t="s">
        <v>3</v>
      </c>
      <c r="BE524" t="s">
        <v>3</v>
      </c>
      <c r="BF524" t="s">
        <v>3</v>
      </c>
      <c r="BG524" t="s">
        <v>3</v>
      </c>
      <c r="BH524">
        <v>0</v>
      </c>
      <c r="BI524">
        <v>4</v>
      </c>
      <c r="BJ524" t="s">
        <v>19</v>
      </c>
      <c r="BM524">
        <v>0</v>
      </c>
      <c r="BN524">
        <v>0</v>
      </c>
      <c r="BO524" t="s">
        <v>3</v>
      </c>
      <c r="BP524">
        <v>0</v>
      </c>
      <c r="BQ524">
        <v>1</v>
      </c>
      <c r="BR524">
        <v>0</v>
      </c>
      <c r="BS524">
        <v>1</v>
      </c>
      <c r="BT524">
        <v>1</v>
      </c>
      <c r="BU524">
        <v>1</v>
      </c>
      <c r="BV524">
        <v>1</v>
      </c>
      <c r="BW524">
        <v>1</v>
      </c>
      <c r="BX524">
        <v>1</v>
      </c>
      <c r="BY524" t="s">
        <v>3</v>
      </c>
      <c r="BZ524">
        <v>70</v>
      </c>
      <c r="CA524">
        <v>10</v>
      </c>
      <c r="CB524" t="s">
        <v>3</v>
      </c>
      <c r="CE524">
        <v>0</v>
      </c>
      <c r="CF524">
        <v>0</v>
      </c>
      <c r="CG524">
        <v>0</v>
      </c>
      <c r="CM524">
        <v>0</v>
      </c>
      <c r="CN524" t="s">
        <v>3</v>
      </c>
      <c r="CO524">
        <v>0</v>
      </c>
      <c r="CP524">
        <f t="shared" si="485"/>
        <v>769.04</v>
      </c>
      <c r="CQ524">
        <f t="shared" si="486"/>
        <v>0</v>
      </c>
      <c r="CR524">
        <f>(((((ET524*4))*BB524-((EU524*4))*BS524)+AE524*BS524)*AV524)</f>
        <v>0</v>
      </c>
      <c r="CS524">
        <f t="shared" si="487"/>
        <v>0</v>
      </c>
      <c r="CT524">
        <f t="shared" si="488"/>
        <v>2023.8</v>
      </c>
      <c r="CU524">
        <f t="shared" si="489"/>
        <v>0</v>
      </c>
      <c r="CV524">
        <f t="shared" si="490"/>
        <v>3.6</v>
      </c>
      <c r="CW524">
        <f t="shared" si="491"/>
        <v>0</v>
      </c>
      <c r="CX524">
        <f t="shared" si="492"/>
        <v>0</v>
      </c>
      <c r="CY524">
        <f t="shared" si="493"/>
        <v>538.32799999999997</v>
      </c>
      <c r="CZ524">
        <f t="shared" si="494"/>
        <v>76.903999999999996</v>
      </c>
      <c r="DC524" t="s">
        <v>3</v>
      </c>
      <c r="DD524" t="s">
        <v>20</v>
      </c>
      <c r="DE524" t="s">
        <v>20</v>
      </c>
      <c r="DF524" t="s">
        <v>20</v>
      </c>
      <c r="DG524" t="s">
        <v>20</v>
      </c>
      <c r="DH524" t="s">
        <v>3</v>
      </c>
      <c r="DI524" t="s">
        <v>20</v>
      </c>
      <c r="DJ524" t="s">
        <v>20</v>
      </c>
      <c r="DK524" t="s">
        <v>3</v>
      </c>
      <c r="DL524" t="s">
        <v>3</v>
      </c>
      <c r="DM524" t="s">
        <v>3</v>
      </c>
      <c r="DN524">
        <v>0</v>
      </c>
      <c r="DO524">
        <v>0</v>
      </c>
      <c r="DP524">
        <v>1</v>
      </c>
      <c r="DQ524">
        <v>1</v>
      </c>
      <c r="DU524">
        <v>1003</v>
      </c>
      <c r="DV524" t="s">
        <v>18</v>
      </c>
      <c r="DW524" t="s">
        <v>18</v>
      </c>
      <c r="DX524">
        <v>100</v>
      </c>
      <c r="DZ524" t="s">
        <v>3</v>
      </c>
      <c r="EA524" t="s">
        <v>3</v>
      </c>
      <c r="EB524" t="s">
        <v>3</v>
      </c>
      <c r="EC524" t="s">
        <v>3</v>
      </c>
      <c r="EE524">
        <v>1441815344</v>
      </c>
      <c r="EF524">
        <v>1</v>
      </c>
      <c r="EG524" t="s">
        <v>21</v>
      </c>
      <c r="EH524">
        <v>0</v>
      </c>
      <c r="EI524" t="s">
        <v>3</v>
      </c>
      <c r="EJ524">
        <v>4</v>
      </c>
      <c r="EK524">
        <v>0</v>
      </c>
      <c r="EL524" t="s">
        <v>22</v>
      </c>
      <c r="EM524" t="s">
        <v>23</v>
      </c>
      <c r="EO524" t="s">
        <v>3</v>
      </c>
      <c r="EQ524">
        <v>1024</v>
      </c>
      <c r="ER524">
        <v>505.95</v>
      </c>
      <c r="ES524">
        <v>0</v>
      </c>
      <c r="ET524">
        <v>0</v>
      </c>
      <c r="EU524">
        <v>0</v>
      </c>
      <c r="EV524">
        <v>505.95</v>
      </c>
      <c r="EW524">
        <v>0.9</v>
      </c>
      <c r="EX524">
        <v>0</v>
      </c>
      <c r="EY524">
        <v>0</v>
      </c>
      <c r="FQ524">
        <v>0</v>
      </c>
      <c r="FR524">
        <f t="shared" si="495"/>
        <v>0</v>
      </c>
      <c r="FS524">
        <v>0</v>
      </c>
      <c r="FX524">
        <v>70</v>
      </c>
      <c r="FY524">
        <v>10</v>
      </c>
      <c r="GA524" t="s">
        <v>3</v>
      </c>
      <c r="GD524">
        <v>0</v>
      </c>
      <c r="GF524">
        <v>-341239612</v>
      </c>
      <c r="GG524">
        <v>2</v>
      </c>
      <c r="GH524">
        <v>1</v>
      </c>
      <c r="GI524">
        <v>-2</v>
      </c>
      <c r="GJ524">
        <v>0</v>
      </c>
      <c r="GK524">
        <f>ROUND(R524*(R12)/100,2)</f>
        <v>0</v>
      </c>
      <c r="GL524">
        <f t="shared" si="496"/>
        <v>0</v>
      </c>
      <c r="GM524">
        <f t="shared" si="497"/>
        <v>1384.27</v>
      </c>
      <c r="GN524">
        <f t="shared" si="498"/>
        <v>0</v>
      </c>
      <c r="GO524">
        <f t="shared" si="499"/>
        <v>0</v>
      </c>
      <c r="GP524">
        <f t="shared" si="500"/>
        <v>1384.27</v>
      </c>
      <c r="GR524">
        <v>0</v>
      </c>
      <c r="GS524">
        <v>3</v>
      </c>
      <c r="GT524">
        <v>0</v>
      </c>
      <c r="GU524" t="s">
        <v>3</v>
      </c>
      <c r="GV524">
        <f t="shared" si="501"/>
        <v>0</v>
      </c>
      <c r="GW524">
        <v>1</v>
      </c>
      <c r="GX524">
        <f t="shared" si="502"/>
        <v>0</v>
      </c>
      <c r="HA524">
        <v>0</v>
      </c>
      <c r="HB524">
        <v>0</v>
      </c>
      <c r="HC524">
        <f t="shared" si="503"/>
        <v>0</v>
      </c>
      <c r="HE524" t="s">
        <v>3</v>
      </c>
      <c r="HF524" t="s">
        <v>3</v>
      </c>
      <c r="HM524" t="s">
        <v>3</v>
      </c>
      <c r="HN524" t="s">
        <v>3</v>
      </c>
      <c r="HO524" t="s">
        <v>3</v>
      </c>
      <c r="HP524" t="s">
        <v>3</v>
      </c>
      <c r="HQ524" t="s">
        <v>3</v>
      </c>
      <c r="IK524">
        <v>0</v>
      </c>
    </row>
    <row r="525" spans="1:245" x14ac:dyDescent="0.2">
      <c r="A525">
        <v>17</v>
      </c>
      <c r="B525">
        <v>1</v>
      </c>
      <c r="D525">
        <f>ROW(EtalonRes!A300)</f>
        <v>300</v>
      </c>
      <c r="E525" t="s">
        <v>3</v>
      </c>
      <c r="F525" t="s">
        <v>299</v>
      </c>
      <c r="G525" t="s">
        <v>300</v>
      </c>
      <c r="H525" t="s">
        <v>18</v>
      </c>
      <c r="I525">
        <f>ROUND(ROUND(((380)*0.75)*3/100,9),9)</f>
        <v>8.5500000000000007</v>
      </c>
      <c r="J525">
        <v>0</v>
      </c>
      <c r="K525">
        <f>ROUND(ROUND(((380)*0.75)*3/100,9),9)</f>
        <v>8.5500000000000007</v>
      </c>
      <c r="O525">
        <f t="shared" si="471"/>
        <v>93055.12</v>
      </c>
      <c r="P525">
        <f t="shared" si="472"/>
        <v>0</v>
      </c>
      <c r="Q525">
        <f t="shared" si="473"/>
        <v>0</v>
      </c>
      <c r="R525">
        <f t="shared" si="474"/>
        <v>0</v>
      </c>
      <c r="S525">
        <f t="shared" si="475"/>
        <v>93055.12</v>
      </c>
      <c r="T525">
        <f t="shared" si="476"/>
        <v>0</v>
      </c>
      <c r="U525">
        <f t="shared" si="477"/>
        <v>165.52800000000002</v>
      </c>
      <c r="V525">
        <f t="shared" si="478"/>
        <v>0</v>
      </c>
      <c r="W525">
        <f t="shared" si="479"/>
        <v>0</v>
      </c>
      <c r="X525">
        <f t="shared" si="480"/>
        <v>65138.58</v>
      </c>
      <c r="Y525">
        <f t="shared" si="481"/>
        <v>9305.51</v>
      </c>
      <c r="AA525">
        <v>-1</v>
      </c>
      <c r="AB525">
        <f t="shared" si="482"/>
        <v>10883.64</v>
      </c>
      <c r="AC525">
        <f>ROUND(((ES525*4)),6)</f>
        <v>0</v>
      </c>
      <c r="AD525">
        <f>ROUND(((((ET525*4))-((EU525*4)))+AE525),6)</f>
        <v>0</v>
      </c>
      <c r="AE525">
        <f t="shared" si="506"/>
        <v>0</v>
      </c>
      <c r="AF525">
        <f t="shared" si="506"/>
        <v>10883.64</v>
      </c>
      <c r="AG525">
        <f t="shared" si="483"/>
        <v>0</v>
      </c>
      <c r="AH525">
        <f t="shared" si="507"/>
        <v>19.36</v>
      </c>
      <c r="AI525">
        <f t="shared" si="507"/>
        <v>0</v>
      </c>
      <c r="AJ525">
        <f t="shared" si="484"/>
        <v>0</v>
      </c>
      <c r="AK525">
        <v>2720.91</v>
      </c>
      <c r="AL525">
        <v>0</v>
      </c>
      <c r="AM525">
        <v>0</v>
      </c>
      <c r="AN525">
        <v>0</v>
      </c>
      <c r="AO525">
        <v>2720.91</v>
      </c>
      <c r="AP525">
        <v>0</v>
      </c>
      <c r="AQ525">
        <v>4.84</v>
      </c>
      <c r="AR525">
        <v>0</v>
      </c>
      <c r="AS525">
        <v>0</v>
      </c>
      <c r="AT525">
        <v>70</v>
      </c>
      <c r="AU525">
        <v>10</v>
      </c>
      <c r="AV525">
        <v>1</v>
      </c>
      <c r="AW525">
        <v>1</v>
      </c>
      <c r="AZ525">
        <v>1</v>
      </c>
      <c r="BA525">
        <v>1</v>
      </c>
      <c r="BB525">
        <v>1</v>
      </c>
      <c r="BC525">
        <v>1</v>
      </c>
      <c r="BD525" t="s">
        <v>3</v>
      </c>
      <c r="BE525" t="s">
        <v>3</v>
      </c>
      <c r="BF525" t="s">
        <v>3</v>
      </c>
      <c r="BG525" t="s">
        <v>3</v>
      </c>
      <c r="BH525">
        <v>0</v>
      </c>
      <c r="BI525">
        <v>4</v>
      </c>
      <c r="BJ525" t="s">
        <v>301</v>
      </c>
      <c r="BM525">
        <v>0</v>
      </c>
      <c r="BN525">
        <v>0</v>
      </c>
      <c r="BO525" t="s">
        <v>3</v>
      </c>
      <c r="BP525">
        <v>0</v>
      </c>
      <c r="BQ525">
        <v>1</v>
      </c>
      <c r="BR525">
        <v>0</v>
      </c>
      <c r="BS525">
        <v>1</v>
      </c>
      <c r="BT525">
        <v>1</v>
      </c>
      <c r="BU525">
        <v>1</v>
      </c>
      <c r="BV525">
        <v>1</v>
      </c>
      <c r="BW525">
        <v>1</v>
      </c>
      <c r="BX525">
        <v>1</v>
      </c>
      <c r="BY525" t="s">
        <v>3</v>
      </c>
      <c r="BZ525">
        <v>70</v>
      </c>
      <c r="CA525">
        <v>10</v>
      </c>
      <c r="CB525" t="s">
        <v>3</v>
      </c>
      <c r="CE525">
        <v>0</v>
      </c>
      <c r="CF525">
        <v>0</v>
      </c>
      <c r="CG525">
        <v>0</v>
      </c>
      <c r="CM525">
        <v>0</v>
      </c>
      <c r="CN525" t="s">
        <v>3</v>
      </c>
      <c r="CO525">
        <v>0</v>
      </c>
      <c r="CP525">
        <f t="shared" si="485"/>
        <v>93055.12</v>
      </c>
      <c r="CQ525">
        <f t="shared" si="486"/>
        <v>0</v>
      </c>
      <c r="CR525">
        <f>(((((ET525*4))*BB525-((EU525*4))*BS525)+AE525*BS525)*AV525)</f>
        <v>0</v>
      </c>
      <c r="CS525">
        <f t="shared" si="487"/>
        <v>0</v>
      </c>
      <c r="CT525">
        <f t="shared" si="488"/>
        <v>10883.64</v>
      </c>
      <c r="CU525">
        <f t="shared" si="489"/>
        <v>0</v>
      </c>
      <c r="CV525">
        <f t="shared" si="490"/>
        <v>19.36</v>
      </c>
      <c r="CW525">
        <f t="shared" si="491"/>
        <v>0</v>
      </c>
      <c r="CX525">
        <f t="shared" si="492"/>
        <v>0</v>
      </c>
      <c r="CY525">
        <f t="shared" si="493"/>
        <v>65138.583999999995</v>
      </c>
      <c r="CZ525">
        <f t="shared" si="494"/>
        <v>9305.5119999999988</v>
      </c>
      <c r="DC525" t="s">
        <v>3</v>
      </c>
      <c r="DD525" t="s">
        <v>20</v>
      </c>
      <c r="DE525" t="s">
        <v>20</v>
      </c>
      <c r="DF525" t="s">
        <v>20</v>
      </c>
      <c r="DG525" t="s">
        <v>20</v>
      </c>
      <c r="DH525" t="s">
        <v>3</v>
      </c>
      <c r="DI525" t="s">
        <v>20</v>
      </c>
      <c r="DJ525" t="s">
        <v>20</v>
      </c>
      <c r="DK525" t="s">
        <v>3</v>
      </c>
      <c r="DL525" t="s">
        <v>3</v>
      </c>
      <c r="DM525" t="s">
        <v>3</v>
      </c>
      <c r="DN525">
        <v>0</v>
      </c>
      <c r="DO525">
        <v>0</v>
      </c>
      <c r="DP525">
        <v>1</v>
      </c>
      <c r="DQ525">
        <v>1</v>
      </c>
      <c r="DU525">
        <v>1003</v>
      </c>
      <c r="DV525" t="s">
        <v>18</v>
      </c>
      <c r="DW525" t="s">
        <v>18</v>
      </c>
      <c r="DX525">
        <v>100</v>
      </c>
      <c r="DZ525" t="s">
        <v>3</v>
      </c>
      <c r="EA525" t="s">
        <v>3</v>
      </c>
      <c r="EB525" t="s">
        <v>3</v>
      </c>
      <c r="EC525" t="s">
        <v>3</v>
      </c>
      <c r="EE525">
        <v>1441815344</v>
      </c>
      <c r="EF525">
        <v>1</v>
      </c>
      <c r="EG525" t="s">
        <v>21</v>
      </c>
      <c r="EH525">
        <v>0</v>
      </c>
      <c r="EI525" t="s">
        <v>3</v>
      </c>
      <c r="EJ525">
        <v>4</v>
      </c>
      <c r="EK525">
        <v>0</v>
      </c>
      <c r="EL525" t="s">
        <v>22</v>
      </c>
      <c r="EM525" t="s">
        <v>23</v>
      </c>
      <c r="EO525" t="s">
        <v>3</v>
      </c>
      <c r="EQ525">
        <v>1024</v>
      </c>
      <c r="ER525">
        <v>2720.91</v>
      </c>
      <c r="ES525">
        <v>0</v>
      </c>
      <c r="ET525">
        <v>0</v>
      </c>
      <c r="EU525">
        <v>0</v>
      </c>
      <c r="EV525">
        <v>2720.91</v>
      </c>
      <c r="EW525">
        <v>4.84</v>
      </c>
      <c r="EX525">
        <v>0</v>
      </c>
      <c r="EY525">
        <v>0</v>
      </c>
      <c r="FQ525">
        <v>0</v>
      </c>
      <c r="FR525">
        <f t="shared" si="495"/>
        <v>0</v>
      </c>
      <c r="FS525">
        <v>0</v>
      </c>
      <c r="FX525">
        <v>70</v>
      </c>
      <c r="FY525">
        <v>10</v>
      </c>
      <c r="GA525" t="s">
        <v>3</v>
      </c>
      <c r="GD525">
        <v>0</v>
      </c>
      <c r="GF525">
        <v>-1706933960</v>
      </c>
      <c r="GG525">
        <v>2</v>
      </c>
      <c r="GH525">
        <v>1</v>
      </c>
      <c r="GI525">
        <v>-2</v>
      </c>
      <c r="GJ525">
        <v>0</v>
      </c>
      <c r="GK525">
        <f>ROUND(R525*(R12)/100,2)</f>
        <v>0</v>
      </c>
      <c r="GL525">
        <f t="shared" si="496"/>
        <v>0</v>
      </c>
      <c r="GM525">
        <f t="shared" si="497"/>
        <v>167499.21</v>
      </c>
      <c r="GN525">
        <f t="shared" si="498"/>
        <v>0</v>
      </c>
      <c r="GO525">
        <f t="shared" si="499"/>
        <v>0</v>
      </c>
      <c r="GP525">
        <f t="shared" si="500"/>
        <v>167499.21</v>
      </c>
      <c r="GR525">
        <v>0</v>
      </c>
      <c r="GS525">
        <v>3</v>
      </c>
      <c r="GT525">
        <v>0</v>
      </c>
      <c r="GU525" t="s">
        <v>3</v>
      </c>
      <c r="GV525">
        <f t="shared" si="501"/>
        <v>0</v>
      </c>
      <c r="GW525">
        <v>1</v>
      </c>
      <c r="GX525">
        <f t="shared" si="502"/>
        <v>0</v>
      </c>
      <c r="HA525">
        <v>0</v>
      </c>
      <c r="HB525">
        <v>0</v>
      </c>
      <c r="HC525">
        <f t="shared" si="503"/>
        <v>0</v>
      </c>
      <c r="HE525" t="s">
        <v>3</v>
      </c>
      <c r="HF525" t="s">
        <v>3</v>
      </c>
      <c r="HM525" t="s">
        <v>3</v>
      </c>
      <c r="HN525" t="s">
        <v>3</v>
      </c>
      <c r="HO525" t="s">
        <v>3</v>
      </c>
      <c r="HP525" t="s">
        <v>3</v>
      </c>
      <c r="HQ525" t="s">
        <v>3</v>
      </c>
      <c r="IK525">
        <v>0</v>
      </c>
    </row>
    <row r="526" spans="1:245" x14ac:dyDescent="0.2">
      <c r="A526">
        <v>17</v>
      </c>
      <c r="B526">
        <v>1</v>
      </c>
      <c r="D526">
        <f>ROW(EtalonRes!A304)</f>
        <v>304</v>
      </c>
      <c r="E526" t="s">
        <v>3</v>
      </c>
      <c r="F526" t="s">
        <v>82</v>
      </c>
      <c r="G526" t="s">
        <v>83</v>
      </c>
      <c r="H526" t="s">
        <v>18</v>
      </c>
      <c r="I526">
        <f>ROUND((6+2+30)*10*0.1/100,9)</f>
        <v>0.38</v>
      </c>
      <c r="J526">
        <v>0</v>
      </c>
      <c r="K526">
        <f>ROUND((6+2+30)*10*0.1/100,9)</f>
        <v>0.38</v>
      </c>
      <c r="O526">
        <f t="shared" si="471"/>
        <v>6424.82</v>
      </c>
      <c r="P526">
        <f t="shared" si="472"/>
        <v>1036.72</v>
      </c>
      <c r="Q526">
        <f t="shared" si="473"/>
        <v>0</v>
      </c>
      <c r="R526">
        <f t="shared" si="474"/>
        <v>0</v>
      </c>
      <c r="S526">
        <f t="shared" si="475"/>
        <v>5388.1</v>
      </c>
      <c r="T526">
        <f t="shared" si="476"/>
        <v>0</v>
      </c>
      <c r="U526">
        <f t="shared" si="477"/>
        <v>11.225199999999999</v>
      </c>
      <c r="V526">
        <f t="shared" si="478"/>
        <v>0</v>
      </c>
      <c r="W526">
        <f t="shared" si="479"/>
        <v>0</v>
      </c>
      <c r="X526">
        <f t="shared" si="480"/>
        <v>3771.67</v>
      </c>
      <c r="Y526">
        <f t="shared" si="481"/>
        <v>538.80999999999995</v>
      </c>
      <c r="AA526">
        <v>-1</v>
      </c>
      <c r="AB526">
        <f t="shared" si="482"/>
        <v>16907.419999999998</v>
      </c>
      <c r="AC526">
        <f>ROUND((ES526),6)</f>
        <v>2728.22</v>
      </c>
      <c r="AD526">
        <f>ROUND((((ET526)-(EU526))+AE526),6)</f>
        <v>0</v>
      </c>
      <c r="AE526">
        <f>ROUND((EU526),6)</f>
        <v>0</v>
      </c>
      <c r="AF526">
        <f>ROUND((EV526),6)</f>
        <v>14179.2</v>
      </c>
      <c r="AG526">
        <f t="shared" si="483"/>
        <v>0</v>
      </c>
      <c r="AH526">
        <f>(EW526)</f>
        <v>29.54</v>
      </c>
      <c r="AI526">
        <f>(EX526)</f>
        <v>0</v>
      </c>
      <c r="AJ526">
        <f t="shared" si="484"/>
        <v>0</v>
      </c>
      <c r="AK526">
        <v>16907.419999999998</v>
      </c>
      <c r="AL526">
        <v>2728.22</v>
      </c>
      <c r="AM526">
        <v>0</v>
      </c>
      <c r="AN526">
        <v>0</v>
      </c>
      <c r="AO526">
        <v>14179.2</v>
      </c>
      <c r="AP526">
        <v>0</v>
      </c>
      <c r="AQ526">
        <v>29.54</v>
      </c>
      <c r="AR526">
        <v>0</v>
      </c>
      <c r="AS526">
        <v>0</v>
      </c>
      <c r="AT526">
        <v>70</v>
      </c>
      <c r="AU526">
        <v>10</v>
      </c>
      <c r="AV526">
        <v>1</v>
      </c>
      <c r="AW526">
        <v>1</v>
      </c>
      <c r="AZ526">
        <v>1</v>
      </c>
      <c r="BA526">
        <v>1</v>
      </c>
      <c r="BB526">
        <v>1</v>
      </c>
      <c r="BC526">
        <v>1</v>
      </c>
      <c r="BD526" t="s">
        <v>3</v>
      </c>
      <c r="BE526" t="s">
        <v>3</v>
      </c>
      <c r="BF526" t="s">
        <v>3</v>
      </c>
      <c r="BG526" t="s">
        <v>3</v>
      </c>
      <c r="BH526">
        <v>0</v>
      </c>
      <c r="BI526">
        <v>4</v>
      </c>
      <c r="BJ526" t="s">
        <v>84</v>
      </c>
      <c r="BM526">
        <v>0</v>
      </c>
      <c r="BN526">
        <v>0</v>
      </c>
      <c r="BO526" t="s">
        <v>3</v>
      </c>
      <c r="BP526">
        <v>0</v>
      </c>
      <c r="BQ526">
        <v>1</v>
      </c>
      <c r="BR526">
        <v>0</v>
      </c>
      <c r="BS526">
        <v>1</v>
      </c>
      <c r="BT526">
        <v>1</v>
      </c>
      <c r="BU526">
        <v>1</v>
      </c>
      <c r="BV526">
        <v>1</v>
      </c>
      <c r="BW526">
        <v>1</v>
      </c>
      <c r="BX526">
        <v>1</v>
      </c>
      <c r="BY526" t="s">
        <v>3</v>
      </c>
      <c r="BZ526">
        <v>70</v>
      </c>
      <c r="CA526">
        <v>10</v>
      </c>
      <c r="CB526" t="s">
        <v>3</v>
      </c>
      <c r="CE526">
        <v>0</v>
      </c>
      <c r="CF526">
        <v>0</v>
      </c>
      <c r="CG526">
        <v>0</v>
      </c>
      <c r="CM526">
        <v>0</v>
      </c>
      <c r="CN526" t="s">
        <v>3</v>
      </c>
      <c r="CO526">
        <v>0</v>
      </c>
      <c r="CP526">
        <f t="shared" si="485"/>
        <v>6424.8200000000006</v>
      </c>
      <c r="CQ526">
        <f t="shared" si="486"/>
        <v>2728.22</v>
      </c>
      <c r="CR526">
        <f>((((ET526)*BB526-(EU526)*BS526)+AE526*BS526)*AV526)</f>
        <v>0</v>
      </c>
      <c r="CS526">
        <f t="shared" si="487"/>
        <v>0</v>
      </c>
      <c r="CT526">
        <f t="shared" si="488"/>
        <v>14179.2</v>
      </c>
      <c r="CU526">
        <f t="shared" si="489"/>
        <v>0</v>
      </c>
      <c r="CV526">
        <f t="shared" si="490"/>
        <v>29.54</v>
      </c>
      <c r="CW526">
        <f t="shared" si="491"/>
        <v>0</v>
      </c>
      <c r="CX526">
        <f t="shared" si="492"/>
        <v>0</v>
      </c>
      <c r="CY526">
        <f t="shared" si="493"/>
        <v>3771.67</v>
      </c>
      <c r="CZ526">
        <f t="shared" si="494"/>
        <v>538.80999999999995</v>
      </c>
      <c r="DC526" t="s">
        <v>3</v>
      </c>
      <c r="DD526" t="s">
        <v>3</v>
      </c>
      <c r="DE526" t="s">
        <v>3</v>
      </c>
      <c r="DF526" t="s">
        <v>3</v>
      </c>
      <c r="DG526" t="s">
        <v>3</v>
      </c>
      <c r="DH526" t="s">
        <v>3</v>
      </c>
      <c r="DI526" t="s">
        <v>3</v>
      </c>
      <c r="DJ526" t="s">
        <v>3</v>
      </c>
      <c r="DK526" t="s">
        <v>3</v>
      </c>
      <c r="DL526" t="s">
        <v>3</v>
      </c>
      <c r="DM526" t="s">
        <v>3</v>
      </c>
      <c r="DN526">
        <v>0</v>
      </c>
      <c r="DO526">
        <v>0</v>
      </c>
      <c r="DP526">
        <v>1</v>
      </c>
      <c r="DQ526">
        <v>1</v>
      </c>
      <c r="DU526">
        <v>1003</v>
      </c>
      <c r="DV526" t="s">
        <v>18</v>
      </c>
      <c r="DW526" t="s">
        <v>18</v>
      </c>
      <c r="DX526">
        <v>100</v>
      </c>
      <c r="DZ526" t="s">
        <v>3</v>
      </c>
      <c r="EA526" t="s">
        <v>3</v>
      </c>
      <c r="EB526" t="s">
        <v>3</v>
      </c>
      <c r="EC526" t="s">
        <v>3</v>
      </c>
      <c r="EE526">
        <v>1441815344</v>
      </c>
      <c r="EF526">
        <v>1</v>
      </c>
      <c r="EG526" t="s">
        <v>21</v>
      </c>
      <c r="EH526">
        <v>0</v>
      </c>
      <c r="EI526" t="s">
        <v>3</v>
      </c>
      <c r="EJ526">
        <v>4</v>
      </c>
      <c r="EK526">
        <v>0</v>
      </c>
      <c r="EL526" t="s">
        <v>22</v>
      </c>
      <c r="EM526" t="s">
        <v>23</v>
      </c>
      <c r="EO526" t="s">
        <v>3</v>
      </c>
      <c r="EQ526">
        <v>1311744</v>
      </c>
      <c r="ER526">
        <v>16907.419999999998</v>
      </c>
      <c r="ES526">
        <v>2728.22</v>
      </c>
      <c r="ET526">
        <v>0</v>
      </c>
      <c r="EU526">
        <v>0</v>
      </c>
      <c r="EV526">
        <v>14179.2</v>
      </c>
      <c r="EW526">
        <v>29.54</v>
      </c>
      <c r="EX526">
        <v>0</v>
      </c>
      <c r="EY526">
        <v>0</v>
      </c>
      <c r="FQ526">
        <v>0</v>
      </c>
      <c r="FR526">
        <f t="shared" si="495"/>
        <v>0</v>
      </c>
      <c r="FS526">
        <v>0</v>
      </c>
      <c r="FX526">
        <v>70</v>
      </c>
      <c r="FY526">
        <v>10</v>
      </c>
      <c r="GA526" t="s">
        <v>3</v>
      </c>
      <c r="GD526">
        <v>0</v>
      </c>
      <c r="GF526">
        <v>-317825441</v>
      </c>
      <c r="GG526">
        <v>2</v>
      </c>
      <c r="GH526">
        <v>1</v>
      </c>
      <c r="GI526">
        <v>-2</v>
      </c>
      <c r="GJ526">
        <v>0</v>
      </c>
      <c r="GK526">
        <f>ROUND(R526*(R12)/100,2)</f>
        <v>0</v>
      </c>
      <c r="GL526">
        <f t="shared" si="496"/>
        <v>0</v>
      </c>
      <c r="GM526">
        <f t="shared" si="497"/>
        <v>10735.3</v>
      </c>
      <c r="GN526">
        <f t="shared" si="498"/>
        <v>0</v>
      </c>
      <c r="GO526">
        <f t="shared" si="499"/>
        <v>0</v>
      </c>
      <c r="GP526">
        <f t="shared" si="500"/>
        <v>10735.3</v>
      </c>
      <c r="GR526">
        <v>0</v>
      </c>
      <c r="GS526">
        <v>3</v>
      </c>
      <c r="GT526">
        <v>0</v>
      </c>
      <c r="GU526" t="s">
        <v>3</v>
      </c>
      <c r="GV526">
        <f t="shared" si="501"/>
        <v>0</v>
      </c>
      <c r="GW526">
        <v>1</v>
      </c>
      <c r="GX526">
        <f t="shared" si="502"/>
        <v>0</v>
      </c>
      <c r="HA526">
        <v>0</v>
      </c>
      <c r="HB526">
        <v>0</v>
      </c>
      <c r="HC526">
        <f t="shared" si="503"/>
        <v>0</v>
      </c>
      <c r="HE526" t="s">
        <v>3</v>
      </c>
      <c r="HF526" t="s">
        <v>3</v>
      </c>
      <c r="HM526" t="s">
        <v>3</v>
      </c>
      <c r="HN526" t="s">
        <v>3</v>
      </c>
      <c r="HO526" t="s">
        <v>3</v>
      </c>
      <c r="HP526" t="s">
        <v>3</v>
      </c>
      <c r="HQ526" t="s">
        <v>3</v>
      </c>
      <c r="IK526">
        <v>0</v>
      </c>
    </row>
    <row r="527" spans="1:245" x14ac:dyDescent="0.2">
      <c r="A527">
        <v>17</v>
      </c>
      <c r="B527">
        <v>1</v>
      </c>
      <c r="D527">
        <f>ROW(EtalonRes!A305)</f>
        <v>305</v>
      </c>
      <c r="E527" t="s">
        <v>366</v>
      </c>
      <c r="F527" t="s">
        <v>86</v>
      </c>
      <c r="G527" t="s">
        <v>87</v>
      </c>
      <c r="H527" t="s">
        <v>31</v>
      </c>
      <c r="I527">
        <f>ROUND(10/10,9)</f>
        <v>1</v>
      </c>
      <c r="J527">
        <v>0</v>
      </c>
      <c r="K527">
        <f>ROUND(10/10,9)</f>
        <v>1</v>
      </c>
      <c r="O527">
        <f t="shared" si="471"/>
        <v>2519.36</v>
      </c>
      <c r="P527">
        <f t="shared" si="472"/>
        <v>0</v>
      </c>
      <c r="Q527">
        <f t="shared" si="473"/>
        <v>0</v>
      </c>
      <c r="R527">
        <f t="shared" si="474"/>
        <v>0</v>
      </c>
      <c r="S527">
        <f t="shared" si="475"/>
        <v>2519.36</v>
      </c>
      <c r="T527">
        <f t="shared" si="476"/>
        <v>0</v>
      </c>
      <c r="U527">
        <f t="shared" si="477"/>
        <v>4.08</v>
      </c>
      <c r="V527">
        <f t="shared" si="478"/>
        <v>0</v>
      </c>
      <c r="W527">
        <f t="shared" si="479"/>
        <v>0</v>
      </c>
      <c r="X527">
        <f t="shared" si="480"/>
        <v>1763.55</v>
      </c>
      <c r="Y527">
        <f t="shared" si="481"/>
        <v>251.94</v>
      </c>
      <c r="AA527">
        <v>1471718271</v>
      </c>
      <c r="AB527">
        <f t="shared" si="482"/>
        <v>2519.36</v>
      </c>
      <c r="AC527">
        <f>ROUND(((ES527*2)),6)</f>
        <v>0</v>
      </c>
      <c r="AD527">
        <f>ROUND(((((ET527*2))-((EU527*2)))+AE527),6)</f>
        <v>0</v>
      </c>
      <c r="AE527">
        <f>ROUND(((EU527*2)),6)</f>
        <v>0</v>
      </c>
      <c r="AF527">
        <f>ROUND(((EV527*2)),6)</f>
        <v>2519.36</v>
      </c>
      <c r="AG527">
        <f t="shared" si="483"/>
        <v>0</v>
      </c>
      <c r="AH527">
        <f>((EW527*2))</f>
        <v>4.08</v>
      </c>
      <c r="AI527">
        <f>((EX527*2))</f>
        <v>0</v>
      </c>
      <c r="AJ527">
        <f t="shared" si="484"/>
        <v>0</v>
      </c>
      <c r="AK527">
        <v>1259.68</v>
      </c>
      <c r="AL527">
        <v>0</v>
      </c>
      <c r="AM527">
        <v>0</v>
      </c>
      <c r="AN527">
        <v>0</v>
      </c>
      <c r="AO527">
        <v>1259.68</v>
      </c>
      <c r="AP527">
        <v>0</v>
      </c>
      <c r="AQ527">
        <v>2.04</v>
      </c>
      <c r="AR527">
        <v>0</v>
      </c>
      <c r="AS527">
        <v>0</v>
      </c>
      <c r="AT527">
        <v>70</v>
      </c>
      <c r="AU527">
        <v>10</v>
      </c>
      <c r="AV527">
        <v>1</v>
      </c>
      <c r="AW527">
        <v>1</v>
      </c>
      <c r="AZ527">
        <v>1</v>
      </c>
      <c r="BA527">
        <v>1</v>
      </c>
      <c r="BB527">
        <v>1</v>
      </c>
      <c r="BC527">
        <v>1</v>
      </c>
      <c r="BD527" t="s">
        <v>3</v>
      </c>
      <c r="BE527" t="s">
        <v>3</v>
      </c>
      <c r="BF527" t="s">
        <v>3</v>
      </c>
      <c r="BG527" t="s">
        <v>3</v>
      </c>
      <c r="BH527">
        <v>0</v>
      </c>
      <c r="BI527">
        <v>4</v>
      </c>
      <c r="BJ527" t="s">
        <v>88</v>
      </c>
      <c r="BM527">
        <v>0</v>
      </c>
      <c r="BN527">
        <v>0</v>
      </c>
      <c r="BO527" t="s">
        <v>3</v>
      </c>
      <c r="BP527">
        <v>0</v>
      </c>
      <c r="BQ527">
        <v>1</v>
      </c>
      <c r="BR527">
        <v>0</v>
      </c>
      <c r="BS527">
        <v>1</v>
      </c>
      <c r="BT527">
        <v>1</v>
      </c>
      <c r="BU527">
        <v>1</v>
      </c>
      <c r="BV527">
        <v>1</v>
      </c>
      <c r="BW527">
        <v>1</v>
      </c>
      <c r="BX527">
        <v>1</v>
      </c>
      <c r="BY527" t="s">
        <v>3</v>
      </c>
      <c r="BZ527">
        <v>70</v>
      </c>
      <c r="CA527">
        <v>10</v>
      </c>
      <c r="CB527" t="s">
        <v>3</v>
      </c>
      <c r="CE527">
        <v>0</v>
      </c>
      <c r="CF527">
        <v>0</v>
      </c>
      <c r="CG527">
        <v>0</v>
      </c>
      <c r="CM527">
        <v>0</v>
      </c>
      <c r="CN527" t="s">
        <v>3</v>
      </c>
      <c r="CO527">
        <v>0</v>
      </c>
      <c r="CP527">
        <f t="shared" si="485"/>
        <v>2519.36</v>
      </c>
      <c r="CQ527">
        <f t="shared" si="486"/>
        <v>0</v>
      </c>
      <c r="CR527">
        <f>(((((ET527*2))*BB527-((EU527*2))*BS527)+AE527*BS527)*AV527)</f>
        <v>0</v>
      </c>
      <c r="CS527">
        <f t="shared" si="487"/>
        <v>0</v>
      </c>
      <c r="CT527">
        <f t="shared" si="488"/>
        <v>2519.36</v>
      </c>
      <c r="CU527">
        <f t="shared" si="489"/>
        <v>0</v>
      </c>
      <c r="CV527">
        <f t="shared" si="490"/>
        <v>4.08</v>
      </c>
      <c r="CW527">
        <f t="shared" si="491"/>
        <v>0</v>
      </c>
      <c r="CX527">
        <f t="shared" si="492"/>
        <v>0</v>
      </c>
      <c r="CY527">
        <f t="shared" si="493"/>
        <v>1763.5520000000001</v>
      </c>
      <c r="CZ527">
        <f t="shared" si="494"/>
        <v>251.93600000000004</v>
      </c>
      <c r="DC527" t="s">
        <v>3</v>
      </c>
      <c r="DD527" t="s">
        <v>42</v>
      </c>
      <c r="DE527" t="s">
        <v>42</v>
      </c>
      <c r="DF527" t="s">
        <v>42</v>
      </c>
      <c r="DG527" t="s">
        <v>42</v>
      </c>
      <c r="DH527" t="s">
        <v>3</v>
      </c>
      <c r="DI527" t="s">
        <v>42</v>
      </c>
      <c r="DJ527" t="s">
        <v>42</v>
      </c>
      <c r="DK527" t="s">
        <v>3</v>
      </c>
      <c r="DL527" t="s">
        <v>3</v>
      </c>
      <c r="DM527" t="s">
        <v>3</v>
      </c>
      <c r="DN527">
        <v>0</v>
      </c>
      <c r="DO527">
        <v>0</v>
      </c>
      <c r="DP527">
        <v>1</v>
      </c>
      <c r="DQ527">
        <v>1</v>
      </c>
      <c r="DU527">
        <v>16987630</v>
      </c>
      <c r="DV527" t="s">
        <v>31</v>
      </c>
      <c r="DW527" t="s">
        <v>31</v>
      </c>
      <c r="DX527">
        <v>10</v>
      </c>
      <c r="DZ527" t="s">
        <v>3</v>
      </c>
      <c r="EA527" t="s">
        <v>3</v>
      </c>
      <c r="EB527" t="s">
        <v>3</v>
      </c>
      <c r="EC527" t="s">
        <v>3</v>
      </c>
      <c r="EE527">
        <v>1441815344</v>
      </c>
      <c r="EF527">
        <v>1</v>
      </c>
      <c r="EG527" t="s">
        <v>21</v>
      </c>
      <c r="EH527">
        <v>0</v>
      </c>
      <c r="EI527" t="s">
        <v>3</v>
      </c>
      <c r="EJ527">
        <v>4</v>
      </c>
      <c r="EK527">
        <v>0</v>
      </c>
      <c r="EL527" t="s">
        <v>22</v>
      </c>
      <c r="EM527" t="s">
        <v>23</v>
      </c>
      <c r="EO527" t="s">
        <v>3</v>
      </c>
      <c r="EQ527">
        <v>0</v>
      </c>
      <c r="ER527">
        <v>1259.68</v>
      </c>
      <c r="ES527">
        <v>0</v>
      </c>
      <c r="ET527">
        <v>0</v>
      </c>
      <c r="EU527">
        <v>0</v>
      </c>
      <c r="EV527">
        <v>1259.68</v>
      </c>
      <c r="EW527">
        <v>2.04</v>
      </c>
      <c r="EX527">
        <v>0</v>
      </c>
      <c r="EY527">
        <v>0</v>
      </c>
      <c r="FQ527">
        <v>0</v>
      </c>
      <c r="FR527">
        <f t="shared" si="495"/>
        <v>0</v>
      </c>
      <c r="FS527">
        <v>0</v>
      </c>
      <c r="FX527">
        <v>70</v>
      </c>
      <c r="FY527">
        <v>10</v>
      </c>
      <c r="GA527" t="s">
        <v>3</v>
      </c>
      <c r="GD527">
        <v>0</v>
      </c>
      <c r="GF527">
        <v>-675599503</v>
      </c>
      <c r="GG527">
        <v>2</v>
      </c>
      <c r="GH527">
        <v>1</v>
      </c>
      <c r="GI527">
        <v>-2</v>
      </c>
      <c r="GJ527">
        <v>0</v>
      </c>
      <c r="GK527">
        <f>ROUND(R527*(R12)/100,2)</f>
        <v>0</v>
      </c>
      <c r="GL527">
        <f t="shared" si="496"/>
        <v>0</v>
      </c>
      <c r="GM527">
        <f t="shared" si="497"/>
        <v>4534.8500000000004</v>
      </c>
      <c r="GN527">
        <f t="shared" si="498"/>
        <v>0</v>
      </c>
      <c r="GO527">
        <f t="shared" si="499"/>
        <v>0</v>
      </c>
      <c r="GP527">
        <f t="shared" si="500"/>
        <v>4534.8500000000004</v>
      </c>
      <c r="GR527">
        <v>0</v>
      </c>
      <c r="GS527">
        <v>3</v>
      </c>
      <c r="GT527">
        <v>0</v>
      </c>
      <c r="GU527" t="s">
        <v>3</v>
      </c>
      <c r="GV527">
        <f t="shared" si="501"/>
        <v>0</v>
      </c>
      <c r="GW527">
        <v>1</v>
      </c>
      <c r="GX527">
        <f t="shared" si="502"/>
        <v>0</v>
      </c>
      <c r="HA527">
        <v>0</v>
      </c>
      <c r="HB527">
        <v>0</v>
      </c>
      <c r="HC527">
        <f t="shared" si="503"/>
        <v>0</v>
      </c>
      <c r="HE527" t="s">
        <v>3</v>
      </c>
      <c r="HF527" t="s">
        <v>3</v>
      </c>
      <c r="HM527" t="s">
        <v>3</v>
      </c>
      <c r="HN527" t="s">
        <v>3</v>
      </c>
      <c r="HO527" t="s">
        <v>3</v>
      </c>
      <c r="HP527" t="s">
        <v>3</v>
      </c>
      <c r="HQ527" t="s">
        <v>3</v>
      </c>
      <c r="IK527">
        <v>0</v>
      </c>
    </row>
    <row r="528" spans="1:245" x14ac:dyDescent="0.2">
      <c r="A528">
        <v>17</v>
      </c>
      <c r="B528">
        <v>1</v>
      </c>
      <c r="D528">
        <f>ROW(EtalonRes!A307)</f>
        <v>307</v>
      </c>
      <c r="E528" t="s">
        <v>367</v>
      </c>
      <c r="F528" t="s">
        <v>39</v>
      </c>
      <c r="G528" t="s">
        <v>304</v>
      </c>
      <c r="H528" t="s">
        <v>36</v>
      </c>
      <c r="I528">
        <f>ROUND(1*10,9)</f>
        <v>10</v>
      </c>
      <c r="J528">
        <v>0</v>
      </c>
      <c r="K528">
        <f>ROUND(1*10,9)</f>
        <v>10</v>
      </c>
      <c r="O528">
        <f t="shared" si="471"/>
        <v>5723.6</v>
      </c>
      <c r="P528">
        <f t="shared" si="472"/>
        <v>0</v>
      </c>
      <c r="Q528">
        <f t="shared" si="473"/>
        <v>1563.6</v>
      </c>
      <c r="R528">
        <f t="shared" si="474"/>
        <v>991.4</v>
      </c>
      <c r="S528">
        <f t="shared" si="475"/>
        <v>4160</v>
      </c>
      <c r="T528">
        <f t="shared" si="476"/>
        <v>0</v>
      </c>
      <c r="U528">
        <f t="shared" si="477"/>
        <v>7.4</v>
      </c>
      <c r="V528">
        <f t="shared" si="478"/>
        <v>0</v>
      </c>
      <c r="W528">
        <f t="shared" si="479"/>
        <v>0</v>
      </c>
      <c r="X528">
        <f t="shared" si="480"/>
        <v>2912</v>
      </c>
      <c r="Y528">
        <f t="shared" si="481"/>
        <v>416</v>
      </c>
      <c r="AA528">
        <v>1471718271</v>
      </c>
      <c r="AB528">
        <f t="shared" si="482"/>
        <v>572.36</v>
      </c>
      <c r="AC528">
        <f>ROUND(((ES528*2)),6)</f>
        <v>0</v>
      </c>
      <c r="AD528">
        <f>ROUND(((((ET528*2))-((EU528*2)))+AE528),6)</f>
        <v>156.36000000000001</v>
      </c>
      <c r="AE528">
        <f>ROUND(((EU528*2)),6)</f>
        <v>99.14</v>
      </c>
      <c r="AF528">
        <f>ROUND(((EV528*2)),6)</f>
        <v>416</v>
      </c>
      <c r="AG528">
        <f t="shared" si="483"/>
        <v>0</v>
      </c>
      <c r="AH528">
        <f>((EW528*2))</f>
        <v>0.74</v>
      </c>
      <c r="AI528">
        <f>((EX528*2))</f>
        <v>0</v>
      </c>
      <c r="AJ528">
        <f t="shared" si="484"/>
        <v>0</v>
      </c>
      <c r="AK528">
        <v>286.18</v>
      </c>
      <c r="AL528">
        <v>0</v>
      </c>
      <c r="AM528">
        <v>78.180000000000007</v>
      </c>
      <c r="AN528">
        <v>49.57</v>
      </c>
      <c r="AO528">
        <v>208</v>
      </c>
      <c r="AP528">
        <v>0</v>
      </c>
      <c r="AQ528">
        <v>0.37</v>
      </c>
      <c r="AR528">
        <v>0</v>
      </c>
      <c r="AS528">
        <v>0</v>
      </c>
      <c r="AT528">
        <v>70</v>
      </c>
      <c r="AU528">
        <v>10</v>
      </c>
      <c r="AV528">
        <v>1</v>
      </c>
      <c r="AW528">
        <v>1</v>
      </c>
      <c r="AZ528">
        <v>1</v>
      </c>
      <c r="BA528">
        <v>1</v>
      </c>
      <c r="BB528">
        <v>1</v>
      </c>
      <c r="BC528">
        <v>1</v>
      </c>
      <c r="BD528" t="s">
        <v>3</v>
      </c>
      <c r="BE528" t="s">
        <v>3</v>
      </c>
      <c r="BF528" t="s">
        <v>3</v>
      </c>
      <c r="BG528" t="s">
        <v>3</v>
      </c>
      <c r="BH528">
        <v>0</v>
      </c>
      <c r="BI528">
        <v>4</v>
      </c>
      <c r="BJ528" t="s">
        <v>41</v>
      </c>
      <c r="BM528">
        <v>0</v>
      </c>
      <c r="BN528">
        <v>0</v>
      </c>
      <c r="BO528" t="s">
        <v>3</v>
      </c>
      <c r="BP528">
        <v>0</v>
      </c>
      <c r="BQ528">
        <v>1</v>
      </c>
      <c r="BR528">
        <v>0</v>
      </c>
      <c r="BS528">
        <v>1</v>
      </c>
      <c r="BT528">
        <v>1</v>
      </c>
      <c r="BU528">
        <v>1</v>
      </c>
      <c r="BV528">
        <v>1</v>
      </c>
      <c r="BW528">
        <v>1</v>
      </c>
      <c r="BX528">
        <v>1</v>
      </c>
      <c r="BY528" t="s">
        <v>3</v>
      </c>
      <c r="BZ528">
        <v>70</v>
      </c>
      <c r="CA528">
        <v>10</v>
      </c>
      <c r="CB528" t="s">
        <v>3</v>
      </c>
      <c r="CE528">
        <v>0</v>
      </c>
      <c r="CF528">
        <v>0</v>
      </c>
      <c r="CG528">
        <v>0</v>
      </c>
      <c r="CM528">
        <v>0</v>
      </c>
      <c r="CN528" t="s">
        <v>3</v>
      </c>
      <c r="CO528">
        <v>0</v>
      </c>
      <c r="CP528">
        <f t="shared" si="485"/>
        <v>5723.6</v>
      </c>
      <c r="CQ528">
        <f t="shared" si="486"/>
        <v>0</v>
      </c>
      <c r="CR528">
        <f>(((((ET528*2))*BB528-((EU528*2))*BS528)+AE528*BS528)*AV528)</f>
        <v>156.36000000000001</v>
      </c>
      <c r="CS528">
        <f t="shared" si="487"/>
        <v>99.14</v>
      </c>
      <c r="CT528">
        <f t="shared" si="488"/>
        <v>416</v>
      </c>
      <c r="CU528">
        <f t="shared" si="489"/>
        <v>0</v>
      </c>
      <c r="CV528">
        <f t="shared" si="490"/>
        <v>0.74</v>
      </c>
      <c r="CW528">
        <f t="shared" si="491"/>
        <v>0</v>
      </c>
      <c r="CX528">
        <f t="shared" si="492"/>
        <v>0</v>
      </c>
      <c r="CY528">
        <f t="shared" si="493"/>
        <v>2912</v>
      </c>
      <c r="CZ528">
        <f t="shared" si="494"/>
        <v>416</v>
      </c>
      <c r="DC528" t="s">
        <v>3</v>
      </c>
      <c r="DD528" t="s">
        <v>42</v>
      </c>
      <c r="DE528" t="s">
        <v>42</v>
      </c>
      <c r="DF528" t="s">
        <v>42</v>
      </c>
      <c r="DG528" t="s">
        <v>42</v>
      </c>
      <c r="DH528" t="s">
        <v>3</v>
      </c>
      <c r="DI528" t="s">
        <v>42</v>
      </c>
      <c r="DJ528" t="s">
        <v>42</v>
      </c>
      <c r="DK528" t="s">
        <v>3</v>
      </c>
      <c r="DL528" t="s">
        <v>3</v>
      </c>
      <c r="DM528" t="s">
        <v>3</v>
      </c>
      <c r="DN528">
        <v>0</v>
      </c>
      <c r="DO528">
        <v>0</v>
      </c>
      <c r="DP528">
        <v>1</v>
      </c>
      <c r="DQ528">
        <v>1</v>
      </c>
      <c r="DU528">
        <v>16987630</v>
      </c>
      <c r="DV528" t="s">
        <v>36</v>
      </c>
      <c r="DW528" t="s">
        <v>36</v>
      </c>
      <c r="DX528">
        <v>1</v>
      </c>
      <c r="DZ528" t="s">
        <v>3</v>
      </c>
      <c r="EA528" t="s">
        <v>3</v>
      </c>
      <c r="EB528" t="s">
        <v>3</v>
      </c>
      <c r="EC528" t="s">
        <v>3</v>
      </c>
      <c r="EE528">
        <v>1441815344</v>
      </c>
      <c r="EF528">
        <v>1</v>
      </c>
      <c r="EG528" t="s">
        <v>21</v>
      </c>
      <c r="EH528">
        <v>0</v>
      </c>
      <c r="EI528" t="s">
        <v>3</v>
      </c>
      <c r="EJ528">
        <v>4</v>
      </c>
      <c r="EK528">
        <v>0</v>
      </c>
      <c r="EL528" t="s">
        <v>22</v>
      </c>
      <c r="EM528" t="s">
        <v>23</v>
      </c>
      <c r="EO528" t="s">
        <v>3</v>
      </c>
      <c r="EQ528">
        <v>0</v>
      </c>
      <c r="ER528">
        <v>286.18</v>
      </c>
      <c r="ES528">
        <v>0</v>
      </c>
      <c r="ET528">
        <v>78.180000000000007</v>
      </c>
      <c r="EU528">
        <v>49.57</v>
      </c>
      <c r="EV528">
        <v>208</v>
      </c>
      <c r="EW528">
        <v>0.37</v>
      </c>
      <c r="EX528">
        <v>0</v>
      </c>
      <c r="EY528">
        <v>0</v>
      </c>
      <c r="FQ528">
        <v>0</v>
      </c>
      <c r="FR528">
        <f t="shared" si="495"/>
        <v>0</v>
      </c>
      <c r="FS528">
        <v>0</v>
      </c>
      <c r="FX528">
        <v>70</v>
      </c>
      <c r="FY528">
        <v>10</v>
      </c>
      <c r="GA528" t="s">
        <v>3</v>
      </c>
      <c r="GD528">
        <v>0</v>
      </c>
      <c r="GF528">
        <v>-1685196425</v>
      </c>
      <c r="GG528">
        <v>2</v>
      </c>
      <c r="GH528">
        <v>1</v>
      </c>
      <c r="GI528">
        <v>-2</v>
      </c>
      <c r="GJ528">
        <v>0</v>
      </c>
      <c r="GK528">
        <f>ROUND(R528*(R12)/100,2)</f>
        <v>1070.71</v>
      </c>
      <c r="GL528">
        <f t="shared" si="496"/>
        <v>0</v>
      </c>
      <c r="GM528">
        <f t="shared" si="497"/>
        <v>10122.31</v>
      </c>
      <c r="GN528">
        <f t="shared" si="498"/>
        <v>0</v>
      </c>
      <c r="GO528">
        <f t="shared" si="499"/>
        <v>0</v>
      </c>
      <c r="GP528">
        <f t="shared" si="500"/>
        <v>10122.31</v>
      </c>
      <c r="GR528">
        <v>0</v>
      </c>
      <c r="GS528">
        <v>3</v>
      </c>
      <c r="GT528">
        <v>0</v>
      </c>
      <c r="GU528" t="s">
        <v>3</v>
      </c>
      <c r="GV528">
        <f t="shared" si="501"/>
        <v>0</v>
      </c>
      <c r="GW528">
        <v>1</v>
      </c>
      <c r="GX528">
        <f t="shared" si="502"/>
        <v>0</v>
      </c>
      <c r="HA528">
        <v>0</v>
      </c>
      <c r="HB528">
        <v>0</v>
      </c>
      <c r="HC528">
        <f t="shared" si="503"/>
        <v>0</v>
      </c>
      <c r="HE528" t="s">
        <v>3</v>
      </c>
      <c r="HF528" t="s">
        <v>3</v>
      </c>
      <c r="HM528" t="s">
        <v>3</v>
      </c>
      <c r="HN528" t="s">
        <v>3</v>
      </c>
      <c r="HO528" t="s">
        <v>3</v>
      </c>
      <c r="HP528" t="s">
        <v>3</v>
      </c>
      <c r="HQ528" t="s">
        <v>3</v>
      </c>
      <c r="IK528">
        <v>0</v>
      </c>
    </row>
    <row r="529" spans="1:245" x14ac:dyDescent="0.2">
      <c r="A529">
        <v>17</v>
      </c>
      <c r="B529">
        <v>1</v>
      </c>
      <c r="D529">
        <f>ROW(EtalonRes!A308)</f>
        <v>308</v>
      </c>
      <c r="E529" t="s">
        <v>368</v>
      </c>
      <c r="F529" t="s">
        <v>29</v>
      </c>
      <c r="G529" t="s">
        <v>306</v>
      </c>
      <c r="H529" t="s">
        <v>31</v>
      </c>
      <c r="I529">
        <f>ROUND(7*10/10,9)</f>
        <v>7</v>
      </c>
      <c r="J529">
        <v>0</v>
      </c>
      <c r="K529">
        <f>ROUND(7*10/10,9)</f>
        <v>7</v>
      </c>
      <c r="O529">
        <f t="shared" si="471"/>
        <v>1945.09</v>
      </c>
      <c r="P529">
        <f t="shared" si="472"/>
        <v>0</v>
      </c>
      <c r="Q529">
        <f t="shared" si="473"/>
        <v>0</v>
      </c>
      <c r="R529">
        <f t="shared" si="474"/>
        <v>0</v>
      </c>
      <c r="S529">
        <f t="shared" si="475"/>
        <v>1945.09</v>
      </c>
      <c r="T529">
        <f t="shared" si="476"/>
        <v>0</v>
      </c>
      <c r="U529">
        <f t="shared" si="477"/>
        <v>3.15</v>
      </c>
      <c r="V529">
        <f t="shared" si="478"/>
        <v>0</v>
      </c>
      <c r="W529">
        <f t="shared" si="479"/>
        <v>0</v>
      </c>
      <c r="X529">
        <f t="shared" si="480"/>
        <v>1361.56</v>
      </c>
      <c r="Y529">
        <f t="shared" si="481"/>
        <v>194.51</v>
      </c>
      <c r="AA529">
        <v>1471718271</v>
      </c>
      <c r="AB529">
        <f t="shared" si="482"/>
        <v>277.87</v>
      </c>
      <c r="AC529">
        <f>ROUND((ES529),6)</f>
        <v>0</v>
      </c>
      <c r="AD529">
        <f>ROUND((((ET529)-(EU529))+AE529),6)</f>
        <v>0</v>
      </c>
      <c r="AE529">
        <f>ROUND((EU529),6)</f>
        <v>0</v>
      </c>
      <c r="AF529">
        <f>ROUND((EV529),6)</f>
        <v>277.87</v>
      </c>
      <c r="AG529">
        <f t="shared" si="483"/>
        <v>0</v>
      </c>
      <c r="AH529">
        <f>(EW529)</f>
        <v>0.45</v>
      </c>
      <c r="AI529">
        <f>(EX529)</f>
        <v>0</v>
      </c>
      <c r="AJ529">
        <f t="shared" si="484"/>
        <v>0</v>
      </c>
      <c r="AK529">
        <v>277.87</v>
      </c>
      <c r="AL529">
        <v>0</v>
      </c>
      <c r="AM529">
        <v>0</v>
      </c>
      <c r="AN529">
        <v>0</v>
      </c>
      <c r="AO529">
        <v>277.87</v>
      </c>
      <c r="AP529">
        <v>0</v>
      </c>
      <c r="AQ529">
        <v>0.45</v>
      </c>
      <c r="AR529">
        <v>0</v>
      </c>
      <c r="AS529">
        <v>0</v>
      </c>
      <c r="AT529">
        <v>70</v>
      </c>
      <c r="AU529">
        <v>10</v>
      </c>
      <c r="AV529">
        <v>1</v>
      </c>
      <c r="AW529">
        <v>1</v>
      </c>
      <c r="AZ529">
        <v>1</v>
      </c>
      <c r="BA529">
        <v>1</v>
      </c>
      <c r="BB529">
        <v>1</v>
      </c>
      <c r="BC529">
        <v>1</v>
      </c>
      <c r="BD529" t="s">
        <v>3</v>
      </c>
      <c r="BE529" t="s">
        <v>3</v>
      </c>
      <c r="BF529" t="s">
        <v>3</v>
      </c>
      <c r="BG529" t="s">
        <v>3</v>
      </c>
      <c r="BH529">
        <v>0</v>
      </c>
      <c r="BI529">
        <v>4</v>
      </c>
      <c r="BJ529" t="s">
        <v>32</v>
      </c>
      <c r="BM529">
        <v>0</v>
      </c>
      <c r="BN529">
        <v>0</v>
      </c>
      <c r="BO529" t="s">
        <v>3</v>
      </c>
      <c r="BP529">
        <v>0</v>
      </c>
      <c r="BQ529">
        <v>1</v>
      </c>
      <c r="BR529">
        <v>0</v>
      </c>
      <c r="BS529">
        <v>1</v>
      </c>
      <c r="BT529">
        <v>1</v>
      </c>
      <c r="BU529">
        <v>1</v>
      </c>
      <c r="BV529">
        <v>1</v>
      </c>
      <c r="BW529">
        <v>1</v>
      </c>
      <c r="BX529">
        <v>1</v>
      </c>
      <c r="BY529" t="s">
        <v>3</v>
      </c>
      <c r="BZ529">
        <v>70</v>
      </c>
      <c r="CA529">
        <v>10</v>
      </c>
      <c r="CB529" t="s">
        <v>3</v>
      </c>
      <c r="CE529">
        <v>0</v>
      </c>
      <c r="CF529">
        <v>0</v>
      </c>
      <c r="CG529">
        <v>0</v>
      </c>
      <c r="CM529">
        <v>0</v>
      </c>
      <c r="CN529" t="s">
        <v>3</v>
      </c>
      <c r="CO529">
        <v>0</v>
      </c>
      <c r="CP529">
        <f t="shared" si="485"/>
        <v>1945.09</v>
      </c>
      <c r="CQ529">
        <f t="shared" si="486"/>
        <v>0</v>
      </c>
      <c r="CR529">
        <f>((((ET529)*BB529-(EU529)*BS529)+AE529*BS529)*AV529)</f>
        <v>0</v>
      </c>
      <c r="CS529">
        <f t="shared" si="487"/>
        <v>0</v>
      </c>
      <c r="CT529">
        <f t="shared" si="488"/>
        <v>277.87</v>
      </c>
      <c r="CU529">
        <f t="shared" si="489"/>
        <v>0</v>
      </c>
      <c r="CV529">
        <f t="shared" si="490"/>
        <v>0.45</v>
      </c>
      <c r="CW529">
        <f t="shared" si="491"/>
        <v>0</v>
      </c>
      <c r="CX529">
        <f t="shared" si="492"/>
        <v>0</v>
      </c>
      <c r="CY529">
        <f t="shared" si="493"/>
        <v>1361.5629999999999</v>
      </c>
      <c r="CZ529">
        <f t="shared" si="494"/>
        <v>194.50899999999999</v>
      </c>
      <c r="DC529" t="s">
        <v>3</v>
      </c>
      <c r="DD529" t="s">
        <v>3</v>
      </c>
      <c r="DE529" t="s">
        <v>3</v>
      </c>
      <c r="DF529" t="s">
        <v>3</v>
      </c>
      <c r="DG529" t="s">
        <v>3</v>
      </c>
      <c r="DH529" t="s">
        <v>3</v>
      </c>
      <c r="DI529" t="s">
        <v>3</v>
      </c>
      <c r="DJ529" t="s">
        <v>3</v>
      </c>
      <c r="DK529" t="s">
        <v>3</v>
      </c>
      <c r="DL529" t="s">
        <v>3</v>
      </c>
      <c r="DM529" t="s">
        <v>3</v>
      </c>
      <c r="DN529">
        <v>0</v>
      </c>
      <c r="DO529">
        <v>0</v>
      </c>
      <c r="DP529">
        <v>1</v>
      </c>
      <c r="DQ529">
        <v>1</v>
      </c>
      <c r="DU529">
        <v>16987630</v>
      </c>
      <c r="DV529" t="s">
        <v>31</v>
      </c>
      <c r="DW529" t="s">
        <v>31</v>
      </c>
      <c r="DX529">
        <v>10</v>
      </c>
      <c r="DZ529" t="s">
        <v>3</v>
      </c>
      <c r="EA529" t="s">
        <v>3</v>
      </c>
      <c r="EB529" t="s">
        <v>3</v>
      </c>
      <c r="EC529" t="s">
        <v>3</v>
      </c>
      <c r="EE529">
        <v>1441815344</v>
      </c>
      <c r="EF529">
        <v>1</v>
      </c>
      <c r="EG529" t="s">
        <v>21</v>
      </c>
      <c r="EH529">
        <v>0</v>
      </c>
      <c r="EI529" t="s">
        <v>3</v>
      </c>
      <c r="EJ529">
        <v>4</v>
      </c>
      <c r="EK529">
        <v>0</v>
      </c>
      <c r="EL529" t="s">
        <v>22</v>
      </c>
      <c r="EM529" t="s">
        <v>23</v>
      </c>
      <c r="EO529" t="s">
        <v>3</v>
      </c>
      <c r="EQ529">
        <v>0</v>
      </c>
      <c r="ER529">
        <v>277.87</v>
      </c>
      <c r="ES529">
        <v>0</v>
      </c>
      <c r="ET529">
        <v>0</v>
      </c>
      <c r="EU529">
        <v>0</v>
      </c>
      <c r="EV529">
        <v>277.87</v>
      </c>
      <c r="EW529">
        <v>0.45</v>
      </c>
      <c r="EX529">
        <v>0</v>
      </c>
      <c r="EY529">
        <v>0</v>
      </c>
      <c r="FQ529">
        <v>0</v>
      </c>
      <c r="FR529">
        <f t="shared" si="495"/>
        <v>0</v>
      </c>
      <c r="FS529">
        <v>0</v>
      </c>
      <c r="FX529">
        <v>70</v>
      </c>
      <c r="FY529">
        <v>10</v>
      </c>
      <c r="GA529" t="s">
        <v>3</v>
      </c>
      <c r="GD529">
        <v>0</v>
      </c>
      <c r="GF529">
        <v>-238643660</v>
      </c>
      <c r="GG529">
        <v>2</v>
      </c>
      <c r="GH529">
        <v>1</v>
      </c>
      <c r="GI529">
        <v>-2</v>
      </c>
      <c r="GJ529">
        <v>0</v>
      </c>
      <c r="GK529">
        <f>ROUND(R529*(R12)/100,2)</f>
        <v>0</v>
      </c>
      <c r="GL529">
        <f t="shared" si="496"/>
        <v>0</v>
      </c>
      <c r="GM529">
        <f t="shared" si="497"/>
        <v>3501.16</v>
      </c>
      <c r="GN529">
        <f t="shared" si="498"/>
        <v>0</v>
      </c>
      <c r="GO529">
        <f t="shared" si="499"/>
        <v>0</v>
      </c>
      <c r="GP529">
        <f t="shared" si="500"/>
        <v>3501.16</v>
      </c>
      <c r="GR529">
        <v>0</v>
      </c>
      <c r="GS529">
        <v>3</v>
      </c>
      <c r="GT529">
        <v>0</v>
      </c>
      <c r="GU529" t="s">
        <v>3</v>
      </c>
      <c r="GV529">
        <f t="shared" si="501"/>
        <v>0</v>
      </c>
      <c r="GW529">
        <v>1</v>
      </c>
      <c r="GX529">
        <f t="shared" si="502"/>
        <v>0</v>
      </c>
      <c r="HA529">
        <v>0</v>
      </c>
      <c r="HB529">
        <v>0</v>
      </c>
      <c r="HC529">
        <f t="shared" si="503"/>
        <v>0</v>
      </c>
      <c r="HE529" t="s">
        <v>3</v>
      </c>
      <c r="HF529" t="s">
        <v>3</v>
      </c>
      <c r="HM529" t="s">
        <v>3</v>
      </c>
      <c r="HN529" t="s">
        <v>3</v>
      </c>
      <c r="HO529" t="s">
        <v>3</v>
      </c>
      <c r="HP529" t="s">
        <v>3</v>
      </c>
      <c r="HQ529" t="s">
        <v>3</v>
      </c>
      <c r="IK529">
        <v>0</v>
      </c>
    </row>
    <row r="530" spans="1:245" x14ac:dyDescent="0.2">
      <c r="A530">
        <v>17</v>
      </c>
      <c r="B530">
        <v>1</v>
      </c>
      <c r="D530">
        <f>ROW(EtalonRes!A311)</f>
        <v>311</v>
      </c>
      <c r="E530" t="s">
        <v>369</v>
      </c>
      <c r="F530" t="s">
        <v>34</v>
      </c>
      <c r="G530" t="s">
        <v>35</v>
      </c>
      <c r="H530" t="s">
        <v>36</v>
      </c>
      <c r="I530">
        <f>ROUND(1*10,9)</f>
        <v>10</v>
      </c>
      <c r="J530">
        <v>0</v>
      </c>
      <c r="K530">
        <f>ROUND(1*10,9)</f>
        <v>10</v>
      </c>
      <c r="O530">
        <f t="shared" si="471"/>
        <v>26558.2</v>
      </c>
      <c r="P530">
        <f t="shared" si="472"/>
        <v>6.3</v>
      </c>
      <c r="Q530">
        <f t="shared" si="473"/>
        <v>14111.6</v>
      </c>
      <c r="R530">
        <f t="shared" si="474"/>
        <v>8947.7000000000007</v>
      </c>
      <c r="S530">
        <f t="shared" si="475"/>
        <v>12440.3</v>
      </c>
      <c r="T530">
        <f t="shared" si="476"/>
        <v>0</v>
      </c>
      <c r="U530">
        <f t="shared" si="477"/>
        <v>17.5</v>
      </c>
      <c r="V530">
        <f t="shared" si="478"/>
        <v>0</v>
      </c>
      <c r="W530">
        <f t="shared" si="479"/>
        <v>0</v>
      </c>
      <c r="X530">
        <f t="shared" si="480"/>
        <v>8708.2099999999991</v>
      </c>
      <c r="Y530">
        <f t="shared" si="481"/>
        <v>1244.03</v>
      </c>
      <c r="AA530">
        <v>1471718271</v>
      </c>
      <c r="AB530">
        <f t="shared" si="482"/>
        <v>2655.82</v>
      </c>
      <c r="AC530">
        <f>ROUND((ES530),6)</f>
        <v>0.63</v>
      </c>
      <c r="AD530">
        <f>ROUND((((ET530)-(EU530))+AE530),6)</f>
        <v>1411.16</v>
      </c>
      <c r="AE530">
        <f>ROUND((EU530),6)</f>
        <v>894.77</v>
      </c>
      <c r="AF530">
        <f>ROUND((EV530),6)</f>
        <v>1244.03</v>
      </c>
      <c r="AG530">
        <f t="shared" si="483"/>
        <v>0</v>
      </c>
      <c r="AH530">
        <f>(EW530)</f>
        <v>1.75</v>
      </c>
      <c r="AI530">
        <f>(EX530)</f>
        <v>0</v>
      </c>
      <c r="AJ530">
        <f t="shared" si="484"/>
        <v>0</v>
      </c>
      <c r="AK530">
        <v>2655.82</v>
      </c>
      <c r="AL530">
        <v>0.63</v>
      </c>
      <c r="AM530">
        <v>1411.16</v>
      </c>
      <c r="AN530">
        <v>894.77</v>
      </c>
      <c r="AO530">
        <v>1244.03</v>
      </c>
      <c r="AP530">
        <v>0</v>
      </c>
      <c r="AQ530">
        <v>1.75</v>
      </c>
      <c r="AR530">
        <v>0</v>
      </c>
      <c r="AS530">
        <v>0</v>
      </c>
      <c r="AT530">
        <v>70</v>
      </c>
      <c r="AU530">
        <v>10</v>
      </c>
      <c r="AV530">
        <v>1</v>
      </c>
      <c r="AW530">
        <v>1</v>
      </c>
      <c r="AZ530">
        <v>1</v>
      </c>
      <c r="BA530">
        <v>1</v>
      </c>
      <c r="BB530">
        <v>1</v>
      </c>
      <c r="BC530">
        <v>1</v>
      </c>
      <c r="BD530" t="s">
        <v>3</v>
      </c>
      <c r="BE530" t="s">
        <v>3</v>
      </c>
      <c r="BF530" t="s">
        <v>3</v>
      </c>
      <c r="BG530" t="s">
        <v>3</v>
      </c>
      <c r="BH530">
        <v>0</v>
      </c>
      <c r="BI530">
        <v>4</v>
      </c>
      <c r="BJ530" t="s">
        <v>37</v>
      </c>
      <c r="BM530">
        <v>0</v>
      </c>
      <c r="BN530">
        <v>0</v>
      </c>
      <c r="BO530" t="s">
        <v>3</v>
      </c>
      <c r="BP530">
        <v>0</v>
      </c>
      <c r="BQ530">
        <v>1</v>
      </c>
      <c r="BR530">
        <v>0</v>
      </c>
      <c r="BS530">
        <v>1</v>
      </c>
      <c r="BT530">
        <v>1</v>
      </c>
      <c r="BU530">
        <v>1</v>
      </c>
      <c r="BV530">
        <v>1</v>
      </c>
      <c r="BW530">
        <v>1</v>
      </c>
      <c r="BX530">
        <v>1</v>
      </c>
      <c r="BY530" t="s">
        <v>3</v>
      </c>
      <c r="BZ530">
        <v>70</v>
      </c>
      <c r="CA530">
        <v>10</v>
      </c>
      <c r="CB530" t="s">
        <v>3</v>
      </c>
      <c r="CE530">
        <v>0</v>
      </c>
      <c r="CF530">
        <v>0</v>
      </c>
      <c r="CG530">
        <v>0</v>
      </c>
      <c r="CM530">
        <v>0</v>
      </c>
      <c r="CN530" t="s">
        <v>3</v>
      </c>
      <c r="CO530">
        <v>0</v>
      </c>
      <c r="CP530">
        <f t="shared" si="485"/>
        <v>26558.199999999997</v>
      </c>
      <c r="CQ530">
        <f t="shared" si="486"/>
        <v>0.63</v>
      </c>
      <c r="CR530">
        <f>((((ET530)*BB530-(EU530)*BS530)+AE530*BS530)*AV530)</f>
        <v>1411.16</v>
      </c>
      <c r="CS530">
        <f t="shared" si="487"/>
        <v>894.77</v>
      </c>
      <c r="CT530">
        <f t="shared" si="488"/>
        <v>1244.03</v>
      </c>
      <c r="CU530">
        <f t="shared" si="489"/>
        <v>0</v>
      </c>
      <c r="CV530">
        <f t="shared" si="490"/>
        <v>1.75</v>
      </c>
      <c r="CW530">
        <f t="shared" si="491"/>
        <v>0</v>
      </c>
      <c r="CX530">
        <f t="shared" si="492"/>
        <v>0</v>
      </c>
      <c r="CY530">
        <f t="shared" si="493"/>
        <v>8708.2099999999991</v>
      </c>
      <c r="CZ530">
        <f t="shared" si="494"/>
        <v>1244.03</v>
      </c>
      <c r="DC530" t="s">
        <v>3</v>
      </c>
      <c r="DD530" t="s">
        <v>3</v>
      </c>
      <c r="DE530" t="s">
        <v>3</v>
      </c>
      <c r="DF530" t="s">
        <v>3</v>
      </c>
      <c r="DG530" t="s">
        <v>3</v>
      </c>
      <c r="DH530" t="s">
        <v>3</v>
      </c>
      <c r="DI530" t="s">
        <v>3</v>
      </c>
      <c r="DJ530" t="s">
        <v>3</v>
      </c>
      <c r="DK530" t="s">
        <v>3</v>
      </c>
      <c r="DL530" t="s">
        <v>3</v>
      </c>
      <c r="DM530" t="s">
        <v>3</v>
      </c>
      <c r="DN530">
        <v>0</v>
      </c>
      <c r="DO530">
        <v>0</v>
      </c>
      <c r="DP530">
        <v>1</v>
      </c>
      <c r="DQ530">
        <v>1</v>
      </c>
      <c r="DU530">
        <v>16987630</v>
      </c>
      <c r="DV530" t="s">
        <v>36</v>
      </c>
      <c r="DW530" t="s">
        <v>36</v>
      </c>
      <c r="DX530">
        <v>1</v>
      </c>
      <c r="DZ530" t="s">
        <v>3</v>
      </c>
      <c r="EA530" t="s">
        <v>3</v>
      </c>
      <c r="EB530" t="s">
        <v>3</v>
      </c>
      <c r="EC530" t="s">
        <v>3</v>
      </c>
      <c r="EE530">
        <v>1441815344</v>
      </c>
      <c r="EF530">
        <v>1</v>
      </c>
      <c r="EG530" t="s">
        <v>21</v>
      </c>
      <c r="EH530">
        <v>0</v>
      </c>
      <c r="EI530" t="s">
        <v>3</v>
      </c>
      <c r="EJ530">
        <v>4</v>
      </c>
      <c r="EK530">
        <v>0</v>
      </c>
      <c r="EL530" t="s">
        <v>22</v>
      </c>
      <c r="EM530" t="s">
        <v>23</v>
      </c>
      <c r="EO530" t="s">
        <v>3</v>
      </c>
      <c r="EQ530">
        <v>0</v>
      </c>
      <c r="ER530">
        <v>2655.82</v>
      </c>
      <c r="ES530">
        <v>0.63</v>
      </c>
      <c r="ET530">
        <v>1411.16</v>
      </c>
      <c r="EU530">
        <v>894.77</v>
      </c>
      <c r="EV530">
        <v>1244.03</v>
      </c>
      <c r="EW530">
        <v>1.75</v>
      </c>
      <c r="EX530">
        <v>0</v>
      </c>
      <c r="EY530">
        <v>0</v>
      </c>
      <c r="FQ530">
        <v>0</v>
      </c>
      <c r="FR530">
        <f t="shared" si="495"/>
        <v>0</v>
      </c>
      <c r="FS530">
        <v>0</v>
      </c>
      <c r="FX530">
        <v>70</v>
      </c>
      <c r="FY530">
        <v>10</v>
      </c>
      <c r="GA530" t="s">
        <v>3</v>
      </c>
      <c r="GD530">
        <v>0</v>
      </c>
      <c r="GF530">
        <v>-1602766855</v>
      </c>
      <c r="GG530">
        <v>2</v>
      </c>
      <c r="GH530">
        <v>1</v>
      </c>
      <c r="GI530">
        <v>-2</v>
      </c>
      <c r="GJ530">
        <v>0</v>
      </c>
      <c r="GK530">
        <f>ROUND(R530*(R12)/100,2)</f>
        <v>9663.52</v>
      </c>
      <c r="GL530">
        <f t="shared" si="496"/>
        <v>0</v>
      </c>
      <c r="GM530">
        <f t="shared" si="497"/>
        <v>46173.96</v>
      </c>
      <c r="GN530">
        <f t="shared" si="498"/>
        <v>0</v>
      </c>
      <c r="GO530">
        <f t="shared" si="499"/>
        <v>0</v>
      </c>
      <c r="GP530">
        <f t="shared" si="500"/>
        <v>46173.96</v>
      </c>
      <c r="GR530">
        <v>0</v>
      </c>
      <c r="GS530">
        <v>3</v>
      </c>
      <c r="GT530">
        <v>0</v>
      </c>
      <c r="GU530" t="s">
        <v>3</v>
      </c>
      <c r="GV530">
        <f t="shared" si="501"/>
        <v>0</v>
      </c>
      <c r="GW530">
        <v>1</v>
      </c>
      <c r="GX530">
        <f t="shared" si="502"/>
        <v>0</v>
      </c>
      <c r="HA530">
        <v>0</v>
      </c>
      <c r="HB530">
        <v>0</v>
      </c>
      <c r="HC530">
        <f t="shared" si="503"/>
        <v>0</v>
      </c>
      <c r="HE530" t="s">
        <v>3</v>
      </c>
      <c r="HF530" t="s">
        <v>3</v>
      </c>
      <c r="HM530" t="s">
        <v>3</v>
      </c>
      <c r="HN530" t="s">
        <v>3</v>
      </c>
      <c r="HO530" t="s">
        <v>3</v>
      </c>
      <c r="HP530" t="s">
        <v>3</v>
      </c>
      <c r="HQ530" t="s">
        <v>3</v>
      </c>
      <c r="IK530">
        <v>0</v>
      </c>
    </row>
    <row r="531" spans="1:245" x14ac:dyDescent="0.2">
      <c r="A531">
        <v>17</v>
      </c>
      <c r="B531">
        <v>1</v>
      </c>
      <c r="D531">
        <f>ROW(EtalonRes!A314)</f>
        <v>314</v>
      </c>
      <c r="E531" t="s">
        <v>3</v>
      </c>
      <c r="F531" t="s">
        <v>308</v>
      </c>
      <c r="G531" t="s">
        <v>309</v>
      </c>
      <c r="H531" t="s">
        <v>53</v>
      </c>
      <c r="I531">
        <f>ROUND(39/100,9)</f>
        <v>0.39</v>
      </c>
      <c r="J531">
        <v>0</v>
      </c>
      <c r="K531">
        <f>ROUND(39/100,9)</f>
        <v>0.39</v>
      </c>
      <c r="O531">
        <f t="shared" si="471"/>
        <v>437939.09</v>
      </c>
      <c r="P531">
        <f t="shared" si="472"/>
        <v>5375.64</v>
      </c>
      <c r="Q531">
        <f t="shared" si="473"/>
        <v>0</v>
      </c>
      <c r="R531">
        <f t="shared" si="474"/>
        <v>0</v>
      </c>
      <c r="S531">
        <f t="shared" si="475"/>
        <v>432563.45</v>
      </c>
      <c r="T531">
        <f t="shared" si="476"/>
        <v>0</v>
      </c>
      <c r="U531">
        <f t="shared" si="477"/>
        <v>1328.145</v>
      </c>
      <c r="V531">
        <f t="shared" si="478"/>
        <v>0</v>
      </c>
      <c r="W531">
        <f t="shared" si="479"/>
        <v>0</v>
      </c>
      <c r="X531">
        <f t="shared" si="480"/>
        <v>302794.42</v>
      </c>
      <c r="Y531">
        <f t="shared" si="481"/>
        <v>43256.35</v>
      </c>
      <c r="AA531">
        <v>-1</v>
      </c>
      <c r="AB531">
        <f t="shared" si="482"/>
        <v>1122920.75</v>
      </c>
      <c r="AC531">
        <f>ROUND(((ES531*245)),6)</f>
        <v>13783.7</v>
      </c>
      <c r="AD531">
        <f>ROUND((((ET531)-(EU531))+AE531),6)</f>
        <v>0</v>
      </c>
      <c r="AE531">
        <f>ROUND((EU531),6)</f>
        <v>0</v>
      </c>
      <c r="AF531">
        <f>ROUND(((EV531*245)),6)</f>
        <v>1109137.05</v>
      </c>
      <c r="AG531">
        <f t="shared" si="483"/>
        <v>0</v>
      </c>
      <c r="AH531">
        <f>((EW531*245))</f>
        <v>3405.5</v>
      </c>
      <c r="AI531">
        <f>(EX531)</f>
        <v>0</v>
      </c>
      <c r="AJ531">
        <f t="shared" si="484"/>
        <v>0</v>
      </c>
      <c r="AK531">
        <v>4583.3500000000004</v>
      </c>
      <c r="AL531">
        <v>56.26</v>
      </c>
      <c r="AM531">
        <v>0</v>
      </c>
      <c r="AN531">
        <v>0</v>
      </c>
      <c r="AO531">
        <v>4527.09</v>
      </c>
      <c r="AP531">
        <v>0</v>
      </c>
      <c r="AQ531">
        <v>13.9</v>
      </c>
      <c r="AR531">
        <v>0</v>
      </c>
      <c r="AS531">
        <v>0</v>
      </c>
      <c r="AT531">
        <v>70</v>
      </c>
      <c r="AU531">
        <v>10</v>
      </c>
      <c r="AV531">
        <v>1</v>
      </c>
      <c r="AW531">
        <v>1</v>
      </c>
      <c r="AZ531">
        <v>1</v>
      </c>
      <c r="BA531">
        <v>1</v>
      </c>
      <c r="BB531">
        <v>1</v>
      </c>
      <c r="BC531">
        <v>1</v>
      </c>
      <c r="BD531" t="s">
        <v>3</v>
      </c>
      <c r="BE531" t="s">
        <v>3</v>
      </c>
      <c r="BF531" t="s">
        <v>3</v>
      </c>
      <c r="BG531" t="s">
        <v>3</v>
      </c>
      <c r="BH531">
        <v>0</v>
      </c>
      <c r="BI531">
        <v>4</v>
      </c>
      <c r="BJ531" t="s">
        <v>310</v>
      </c>
      <c r="BM531">
        <v>0</v>
      </c>
      <c r="BN531">
        <v>0</v>
      </c>
      <c r="BO531" t="s">
        <v>3</v>
      </c>
      <c r="BP531">
        <v>0</v>
      </c>
      <c r="BQ531">
        <v>1</v>
      </c>
      <c r="BR531">
        <v>0</v>
      </c>
      <c r="BS531">
        <v>1</v>
      </c>
      <c r="BT531">
        <v>1</v>
      </c>
      <c r="BU531">
        <v>1</v>
      </c>
      <c r="BV531">
        <v>1</v>
      </c>
      <c r="BW531">
        <v>1</v>
      </c>
      <c r="BX531">
        <v>1</v>
      </c>
      <c r="BY531" t="s">
        <v>3</v>
      </c>
      <c r="BZ531">
        <v>70</v>
      </c>
      <c r="CA531">
        <v>10</v>
      </c>
      <c r="CB531" t="s">
        <v>3</v>
      </c>
      <c r="CE531">
        <v>0</v>
      </c>
      <c r="CF531">
        <v>0</v>
      </c>
      <c r="CG531">
        <v>0</v>
      </c>
      <c r="CM531">
        <v>0</v>
      </c>
      <c r="CN531" t="s">
        <v>3</v>
      </c>
      <c r="CO531">
        <v>0</v>
      </c>
      <c r="CP531">
        <f t="shared" si="485"/>
        <v>437939.09</v>
      </c>
      <c r="CQ531">
        <f t="shared" si="486"/>
        <v>13783.7</v>
      </c>
      <c r="CR531">
        <f>((((ET531)*BB531-(EU531)*BS531)+AE531*BS531)*AV531)</f>
        <v>0</v>
      </c>
      <c r="CS531">
        <f t="shared" si="487"/>
        <v>0</v>
      </c>
      <c r="CT531">
        <f t="shared" si="488"/>
        <v>1109137.05</v>
      </c>
      <c r="CU531">
        <f t="shared" si="489"/>
        <v>0</v>
      </c>
      <c r="CV531">
        <f t="shared" si="490"/>
        <v>3405.5</v>
      </c>
      <c r="CW531">
        <f t="shared" si="491"/>
        <v>0</v>
      </c>
      <c r="CX531">
        <f t="shared" si="492"/>
        <v>0</v>
      </c>
      <c r="CY531">
        <f t="shared" si="493"/>
        <v>302794.41499999998</v>
      </c>
      <c r="CZ531">
        <f t="shared" si="494"/>
        <v>43256.345000000001</v>
      </c>
      <c r="DC531" t="s">
        <v>3</v>
      </c>
      <c r="DD531" t="s">
        <v>311</v>
      </c>
      <c r="DE531" t="s">
        <v>3</v>
      </c>
      <c r="DF531" t="s">
        <v>3</v>
      </c>
      <c r="DG531" t="s">
        <v>311</v>
      </c>
      <c r="DH531" t="s">
        <v>3</v>
      </c>
      <c r="DI531" t="s">
        <v>311</v>
      </c>
      <c r="DJ531" t="s">
        <v>3</v>
      </c>
      <c r="DK531" t="s">
        <v>3</v>
      </c>
      <c r="DL531" t="s">
        <v>3</v>
      </c>
      <c r="DM531" t="s">
        <v>3</v>
      </c>
      <c r="DN531">
        <v>0</v>
      </c>
      <c r="DO531">
        <v>0</v>
      </c>
      <c r="DP531">
        <v>1</v>
      </c>
      <c r="DQ531">
        <v>1</v>
      </c>
      <c r="DU531">
        <v>16987630</v>
      </c>
      <c r="DV531" t="s">
        <v>53</v>
      </c>
      <c r="DW531" t="s">
        <v>53</v>
      </c>
      <c r="DX531">
        <v>100</v>
      </c>
      <c r="DZ531" t="s">
        <v>3</v>
      </c>
      <c r="EA531" t="s">
        <v>3</v>
      </c>
      <c r="EB531" t="s">
        <v>3</v>
      </c>
      <c r="EC531" t="s">
        <v>3</v>
      </c>
      <c r="EE531">
        <v>1441815344</v>
      </c>
      <c r="EF531">
        <v>1</v>
      </c>
      <c r="EG531" t="s">
        <v>21</v>
      </c>
      <c r="EH531">
        <v>0</v>
      </c>
      <c r="EI531" t="s">
        <v>3</v>
      </c>
      <c r="EJ531">
        <v>4</v>
      </c>
      <c r="EK531">
        <v>0</v>
      </c>
      <c r="EL531" t="s">
        <v>22</v>
      </c>
      <c r="EM531" t="s">
        <v>23</v>
      </c>
      <c r="EO531" t="s">
        <v>3</v>
      </c>
      <c r="EQ531">
        <v>1024</v>
      </c>
      <c r="ER531">
        <v>4583.3500000000004</v>
      </c>
      <c r="ES531">
        <v>56.26</v>
      </c>
      <c r="ET531">
        <v>0</v>
      </c>
      <c r="EU531">
        <v>0</v>
      </c>
      <c r="EV531">
        <v>4527.09</v>
      </c>
      <c r="EW531">
        <v>13.9</v>
      </c>
      <c r="EX531">
        <v>0</v>
      </c>
      <c r="EY531">
        <v>0</v>
      </c>
      <c r="FQ531">
        <v>0</v>
      </c>
      <c r="FR531">
        <f t="shared" si="495"/>
        <v>0</v>
      </c>
      <c r="FS531">
        <v>0</v>
      </c>
      <c r="FX531">
        <v>70</v>
      </c>
      <c r="FY531">
        <v>10</v>
      </c>
      <c r="GA531" t="s">
        <v>3</v>
      </c>
      <c r="GD531">
        <v>0</v>
      </c>
      <c r="GF531">
        <v>-414143233</v>
      </c>
      <c r="GG531">
        <v>2</v>
      </c>
      <c r="GH531">
        <v>1</v>
      </c>
      <c r="GI531">
        <v>-2</v>
      </c>
      <c r="GJ531">
        <v>0</v>
      </c>
      <c r="GK531">
        <f>ROUND(R531*(R12)/100,2)</f>
        <v>0</v>
      </c>
      <c r="GL531">
        <f t="shared" si="496"/>
        <v>0</v>
      </c>
      <c r="GM531">
        <f t="shared" si="497"/>
        <v>783989.86</v>
      </c>
      <c r="GN531">
        <f t="shared" si="498"/>
        <v>0</v>
      </c>
      <c r="GO531">
        <f t="shared" si="499"/>
        <v>0</v>
      </c>
      <c r="GP531">
        <f t="shared" si="500"/>
        <v>783989.86</v>
      </c>
      <c r="GR531">
        <v>0</v>
      </c>
      <c r="GS531">
        <v>3</v>
      </c>
      <c r="GT531">
        <v>0</v>
      </c>
      <c r="GU531" t="s">
        <v>3</v>
      </c>
      <c r="GV531">
        <f t="shared" si="501"/>
        <v>0</v>
      </c>
      <c r="GW531">
        <v>1</v>
      </c>
      <c r="GX531">
        <f t="shared" si="502"/>
        <v>0</v>
      </c>
      <c r="HA531">
        <v>0</v>
      </c>
      <c r="HB531">
        <v>0</v>
      </c>
      <c r="HC531">
        <f t="shared" si="503"/>
        <v>0</v>
      </c>
      <c r="HE531" t="s">
        <v>3</v>
      </c>
      <c r="HF531" t="s">
        <v>3</v>
      </c>
      <c r="HM531" t="s">
        <v>3</v>
      </c>
      <c r="HN531" t="s">
        <v>3</v>
      </c>
      <c r="HO531" t="s">
        <v>3</v>
      </c>
      <c r="HP531" t="s">
        <v>3</v>
      </c>
      <c r="HQ531" t="s">
        <v>3</v>
      </c>
      <c r="IK531">
        <v>0</v>
      </c>
    </row>
    <row r="532" spans="1:245" x14ac:dyDescent="0.2">
      <c r="A532">
        <v>17</v>
      </c>
      <c r="B532">
        <v>1</v>
      </c>
      <c r="D532">
        <f>ROW(EtalonRes!A317)</f>
        <v>317</v>
      </c>
      <c r="E532" t="s">
        <v>3</v>
      </c>
      <c r="F532" t="s">
        <v>312</v>
      </c>
      <c r="G532" t="s">
        <v>313</v>
      </c>
      <c r="H532" t="s">
        <v>53</v>
      </c>
      <c r="I532">
        <f>ROUND(39/100,9)</f>
        <v>0.39</v>
      </c>
      <c r="J532">
        <v>0</v>
      </c>
      <c r="K532">
        <f>ROUND(39/100,9)</f>
        <v>0.39</v>
      </c>
      <c r="O532">
        <f t="shared" si="471"/>
        <v>259000.69</v>
      </c>
      <c r="P532">
        <f t="shared" si="472"/>
        <v>5375.64</v>
      </c>
      <c r="Q532">
        <f t="shared" si="473"/>
        <v>0</v>
      </c>
      <c r="R532">
        <f t="shared" si="474"/>
        <v>0</v>
      </c>
      <c r="S532">
        <f t="shared" si="475"/>
        <v>253625.05</v>
      </c>
      <c r="T532">
        <f t="shared" si="476"/>
        <v>0</v>
      </c>
      <c r="U532">
        <f t="shared" si="477"/>
        <v>778.73250000000007</v>
      </c>
      <c r="V532">
        <f t="shared" si="478"/>
        <v>0</v>
      </c>
      <c r="W532">
        <f t="shared" si="479"/>
        <v>0</v>
      </c>
      <c r="X532">
        <f t="shared" si="480"/>
        <v>177537.54</v>
      </c>
      <c r="Y532">
        <f t="shared" si="481"/>
        <v>25362.51</v>
      </c>
      <c r="AA532">
        <v>-1</v>
      </c>
      <c r="AB532">
        <f t="shared" si="482"/>
        <v>664104.35</v>
      </c>
      <c r="AC532">
        <f>ROUND(((ES532*245)),6)</f>
        <v>13783.7</v>
      </c>
      <c r="AD532">
        <f>ROUND((((ET532)-(EU532))+AE532),6)</f>
        <v>0</v>
      </c>
      <c r="AE532">
        <f>ROUND((EU532),6)</f>
        <v>0</v>
      </c>
      <c r="AF532">
        <f>ROUND(((EV532*245)),6)</f>
        <v>650320.65</v>
      </c>
      <c r="AG532">
        <f t="shared" si="483"/>
        <v>0</v>
      </c>
      <c r="AH532">
        <f>((EW532*245))</f>
        <v>1996.75</v>
      </c>
      <c r="AI532">
        <f>(EX532)</f>
        <v>0</v>
      </c>
      <c r="AJ532">
        <f t="shared" si="484"/>
        <v>0</v>
      </c>
      <c r="AK532">
        <v>2710.63</v>
      </c>
      <c r="AL532">
        <v>56.26</v>
      </c>
      <c r="AM532">
        <v>0</v>
      </c>
      <c r="AN532">
        <v>0</v>
      </c>
      <c r="AO532">
        <v>2654.37</v>
      </c>
      <c r="AP532">
        <v>0</v>
      </c>
      <c r="AQ532">
        <v>8.15</v>
      </c>
      <c r="AR532">
        <v>0</v>
      </c>
      <c r="AS532">
        <v>0</v>
      </c>
      <c r="AT532">
        <v>70</v>
      </c>
      <c r="AU532">
        <v>10</v>
      </c>
      <c r="AV532">
        <v>1</v>
      </c>
      <c r="AW532">
        <v>1</v>
      </c>
      <c r="AZ532">
        <v>1</v>
      </c>
      <c r="BA532">
        <v>1</v>
      </c>
      <c r="BB532">
        <v>1</v>
      </c>
      <c r="BC532">
        <v>1</v>
      </c>
      <c r="BD532" t="s">
        <v>3</v>
      </c>
      <c r="BE532" t="s">
        <v>3</v>
      </c>
      <c r="BF532" t="s">
        <v>3</v>
      </c>
      <c r="BG532" t="s">
        <v>3</v>
      </c>
      <c r="BH532">
        <v>0</v>
      </c>
      <c r="BI532">
        <v>4</v>
      </c>
      <c r="BJ532" t="s">
        <v>314</v>
      </c>
      <c r="BM532">
        <v>0</v>
      </c>
      <c r="BN532">
        <v>0</v>
      </c>
      <c r="BO532" t="s">
        <v>3</v>
      </c>
      <c r="BP532">
        <v>0</v>
      </c>
      <c r="BQ532">
        <v>1</v>
      </c>
      <c r="BR532">
        <v>0</v>
      </c>
      <c r="BS532">
        <v>1</v>
      </c>
      <c r="BT532">
        <v>1</v>
      </c>
      <c r="BU532">
        <v>1</v>
      </c>
      <c r="BV532">
        <v>1</v>
      </c>
      <c r="BW532">
        <v>1</v>
      </c>
      <c r="BX532">
        <v>1</v>
      </c>
      <c r="BY532" t="s">
        <v>3</v>
      </c>
      <c r="BZ532">
        <v>70</v>
      </c>
      <c r="CA532">
        <v>10</v>
      </c>
      <c r="CB532" t="s">
        <v>3</v>
      </c>
      <c r="CE532">
        <v>0</v>
      </c>
      <c r="CF532">
        <v>0</v>
      </c>
      <c r="CG532">
        <v>0</v>
      </c>
      <c r="CM532">
        <v>0</v>
      </c>
      <c r="CN532" t="s">
        <v>3</v>
      </c>
      <c r="CO532">
        <v>0</v>
      </c>
      <c r="CP532">
        <f t="shared" si="485"/>
        <v>259000.69</v>
      </c>
      <c r="CQ532">
        <f t="shared" si="486"/>
        <v>13783.7</v>
      </c>
      <c r="CR532">
        <f>((((ET532)*BB532-(EU532)*BS532)+AE532*BS532)*AV532)</f>
        <v>0</v>
      </c>
      <c r="CS532">
        <f t="shared" si="487"/>
        <v>0</v>
      </c>
      <c r="CT532">
        <f t="shared" si="488"/>
        <v>650320.65</v>
      </c>
      <c r="CU532">
        <f t="shared" si="489"/>
        <v>0</v>
      </c>
      <c r="CV532">
        <f t="shared" si="490"/>
        <v>1996.75</v>
      </c>
      <c r="CW532">
        <f t="shared" si="491"/>
        <v>0</v>
      </c>
      <c r="CX532">
        <f t="shared" si="492"/>
        <v>0</v>
      </c>
      <c r="CY532">
        <f t="shared" si="493"/>
        <v>177537.535</v>
      </c>
      <c r="CZ532">
        <f t="shared" si="494"/>
        <v>25362.505000000001</v>
      </c>
      <c r="DC532" t="s">
        <v>3</v>
      </c>
      <c r="DD532" t="s">
        <v>311</v>
      </c>
      <c r="DE532" t="s">
        <v>3</v>
      </c>
      <c r="DF532" t="s">
        <v>3</v>
      </c>
      <c r="DG532" t="s">
        <v>311</v>
      </c>
      <c r="DH532" t="s">
        <v>3</v>
      </c>
      <c r="DI532" t="s">
        <v>311</v>
      </c>
      <c r="DJ532" t="s">
        <v>3</v>
      </c>
      <c r="DK532" t="s">
        <v>3</v>
      </c>
      <c r="DL532" t="s">
        <v>3</v>
      </c>
      <c r="DM532" t="s">
        <v>3</v>
      </c>
      <c r="DN532">
        <v>0</v>
      </c>
      <c r="DO532">
        <v>0</v>
      </c>
      <c r="DP532">
        <v>1</v>
      </c>
      <c r="DQ532">
        <v>1</v>
      </c>
      <c r="DU532">
        <v>16987630</v>
      </c>
      <c r="DV532" t="s">
        <v>53</v>
      </c>
      <c r="DW532" t="s">
        <v>53</v>
      </c>
      <c r="DX532">
        <v>100</v>
      </c>
      <c r="DZ532" t="s">
        <v>3</v>
      </c>
      <c r="EA532" t="s">
        <v>3</v>
      </c>
      <c r="EB532" t="s">
        <v>3</v>
      </c>
      <c r="EC532" t="s">
        <v>3</v>
      </c>
      <c r="EE532">
        <v>1441815344</v>
      </c>
      <c r="EF532">
        <v>1</v>
      </c>
      <c r="EG532" t="s">
        <v>21</v>
      </c>
      <c r="EH532">
        <v>0</v>
      </c>
      <c r="EI532" t="s">
        <v>3</v>
      </c>
      <c r="EJ532">
        <v>4</v>
      </c>
      <c r="EK532">
        <v>0</v>
      </c>
      <c r="EL532" t="s">
        <v>22</v>
      </c>
      <c r="EM532" t="s">
        <v>23</v>
      </c>
      <c r="EO532" t="s">
        <v>3</v>
      </c>
      <c r="EQ532">
        <v>1024</v>
      </c>
      <c r="ER532">
        <v>2710.63</v>
      </c>
      <c r="ES532">
        <v>56.26</v>
      </c>
      <c r="ET532">
        <v>0</v>
      </c>
      <c r="EU532">
        <v>0</v>
      </c>
      <c r="EV532">
        <v>2654.37</v>
      </c>
      <c r="EW532">
        <v>8.15</v>
      </c>
      <c r="EX532">
        <v>0</v>
      </c>
      <c r="EY532">
        <v>0</v>
      </c>
      <c r="FQ532">
        <v>0</v>
      </c>
      <c r="FR532">
        <f t="shared" si="495"/>
        <v>0</v>
      </c>
      <c r="FS532">
        <v>0</v>
      </c>
      <c r="FX532">
        <v>70</v>
      </c>
      <c r="FY532">
        <v>10</v>
      </c>
      <c r="GA532" t="s">
        <v>3</v>
      </c>
      <c r="GD532">
        <v>0</v>
      </c>
      <c r="GF532">
        <v>-729031507</v>
      </c>
      <c r="GG532">
        <v>2</v>
      </c>
      <c r="GH532">
        <v>1</v>
      </c>
      <c r="GI532">
        <v>-2</v>
      </c>
      <c r="GJ532">
        <v>0</v>
      </c>
      <c r="GK532">
        <f>ROUND(R532*(R12)/100,2)</f>
        <v>0</v>
      </c>
      <c r="GL532">
        <f t="shared" si="496"/>
        <v>0</v>
      </c>
      <c r="GM532">
        <f t="shared" si="497"/>
        <v>461900.74</v>
      </c>
      <c r="GN532">
        <f t="shared" si="498"/>
        <v>0</v>
      </c>
      <c r="GO532">
        <f t="shared" si="499"/>
        <v>0</v>
      </c>
      <c r="GP532">
        <f t="shared" si="500"/>
        <v>461900.74</v>
      </c>
      <c r="GR532">
        <v>0</v>
      </c>
      <c r="GS532">
        <v>3</v>
      </c>
      <c r="GT532">
        <v>0</v>
      </c>
      <c r="GU532" t="s">
        <v>3</v>
      </c>
      <c r="GV532">
        <f t="shared" si="501"/>
        <v>0</v>
      </c>
      <c r="GW532">
        <v>1</v>
      </c>
      <c r="GX532">
        <f t="shared" si="502"/>
        <v>0</v>
      </c>
      <c r="HA532">
        <v>0</v>
      </c>
      <c r="HB532">
        <v>0</v>
      </c>
      <c r="HC532">
        <f t="shared" si="503"/>
        <v>0</v>
      </c>
      <c r="HE532" t="s">
        <v>3</v>
      </c>
      <c r="HF532" t="s">
        <v>3</v>
      </c>
      <c r="HM532" t="s">
        <v>3</v>
      </c>
      <c r="HN532" t="s">
        <v>3</v>
      </c>
      <c r="HO532" t="s">
        <v>3</v>
      </c>
      <c r="HP532" t="s">
        <v>3</v>
      </c>
      <c r="HQ532" t="s">
        <v>3</v>
      </c>
      <c r="IK532">
        <v>0</v>
      </c>
    </row>
    <row r="534" spans="1:245" x14ac:dyDescent="0.2">
      <c r="A534" s="2">
        <v>51</v>
      </c>
      <c r="B534" s="2">
        <f>B507</f>
        <v>1</v>
      </c>
      <c r="C534" s="2">
        <f>A507</f>
        <v>5</v>
      </c>
      <c r="D534" s="2">
        <f>ROW(A507)</f>
        <v>507</v>
      </c>
      <c r="E534" s="2"/>
      <c r="F534" s="2" t="str">
        <f>IF(F507&lt;&gt;"",F507,"")</f>
        <v>Новый подраздел</v>
      </c>
      <c r="G534" s="2" t="str">
        <f>IF(G507&lt;&gt;"",G507,"")</f>
        <v>Система внутреннего водоснабжения и водоотведения</v>
      </c>
      <c r="H534" s="2">
        <v>0</v>
      </c>
      <c r="I534" s="2"/>
      <c r="J534" s="2"/>
      <c r="K534" s="2"/>
      <c r="L534" s="2"/>
      <c r="M534" s="2"/>
      <c r="N534" s="2"/>
      <c r="O534" s="2">
        <f t="shared" ref="O534:T534" si="508">ROUND(AB534,2)</f>
        <v>71639.47</v>
      </c>
      <c r="P534" s="2">
        <f t="shared" si="508"/>
        <v>356.48</v>
      </c>
      <c r="Q534" s="2">
        <f t="shared" si="508"/>
        <v>18032.96</v>
      </c>
      <c r="R534" s="2">
        <f t="shared" si="508"/>
        <v>11426.34</v>
      </c>
      <c r="S534" s="2">
        <f t="shared" si="508"/>
        <v>53250.03</v>
      </c>
      <c r="T534" s="2">
        <f t="shared" si="508"/>
        <v>0</v>
      </c>
      <c r="U534" s="2">
        <f>AH534</f>
        <v>93.953000000000017</v>
      </c>
      <c r="V534" s="2">
        <f>AI534</f>
        <v>0</v>
      </c>
      <c r="W534" s="2">
        <f>ROUND(AJ534,2)</f>
        <v>0</v>
      </c>
      <c r="X534" s="2">
        <f>ROUND(AK534,2)</f>
        <v>37275.03</v>
      </c>
      <c r="Y534" s="2">
        <f>ROUND(AL534,2)</f>
        <v>5325.01</v>
      </c>
      <c r="Z534" s="2"/>
      <c r="AA534" s="2"/>
      <c r="AB534" s="2">
        <f>ROUND(SUMIF(AA511:AA532,"=1471718271",O511:O532),2)</f>
        <v>71639.47</v>
      </c>
      <c r="AC534" s="2">
        <f>ROUND(SUMIF(AA511:AA532,"=1471718271",P511:P532),2)</f>
        <v>356.48</v>
      </c>
      <c r="AD534" s="2">
        <f>ROUND(SUMIF(AA511:AA532,"=1471718271",Q511:Q532),2)</f>
        <v>18032.96</v>
      </c>
      <c r="AE534" s="2">
        <f>ROUND(SUMIF(AA511:AA532,"=1471718271",R511:R532),2)</f>
        <v>11426.34</v>
      </c>
      <c r="AF534" s="2">
        <f>ROUND(SUMIF(AA511:AA532,"=1471718271",S511:S532),2)</f>
        <v>53250.03</v>
      </c>
      <c r="AG534" s="2">
        <f>ROUND(SUMIF(AA511:AA532,"=1471718271",T511:T532),2)</f>
        <v>0</v>
      </c>
      <c r="AH534" s="2">
        <f>SUMIF(AA511:AA532,"=1471718271",U511:U532)</f>
        <v>93.953000000000017</v>
      </c>
      <c r="AI534" s="2">
        <f>SUMIF(AA511:AA532,"=1471718271",V511:V532)</f>
        <v>0</v>
      </c>
      <c r="AJ534" s="2">
        <f>ROUND(SUMIF(AA511:AA532,"=1471718271",W511:W532),2)</f>
        <v>0</v>
      </c>
      <c r="AK534" s="2">
        <f>ROUND(SUMIF(AA511:AA532,"=1471718271",X511:X532),2)</f>
        <v>37275.03</v>
      </c>
      <c r="AL534" s="2">
        <f>ROUND(SUMIF(AA511:AA532,"=1471718271",Y511:Y532),2)</f>
        <v>5325.01</v>
      </c>
      <c r="AM534" s="2"/>
      <c r="AN534" s="2"/>
      <c r="AO534" s="2">
        <f t="shared" ref="AO534:BD534" si="509">ROUND(BX534,2)</f>
        <v>0</v>
      </c>
      <c r="AP534" s="2">
        <f t="shared" si="509"/>
        <v>0</v>
      </c>
      <c r="AQ534" s="2">
        <f t="shared" si="509"/>
        <v>0</v>
      </c>
      <c r="AR534" s="2">
        <f t="shared" si="509"/>
        <v>126579.98</v>
      </c>
      <c r="AS534" s="2">
        <f t="shared" si="509"/>
        <v>0</v>
      </c>
      <c r="AT534" s="2">
        <f t="shared" si="509"/>
        <v>0</v>
      </c>
      <c r="AU534" s="2">
        <f t="shared" si="509"/>
        <v>126579.98</v>
      </c>
      <c r="AV534" s="2">
        <f t="shared" si="509"/>
        <v>356.48</v>
      </c>
      <c r="AW534" s="2">
        <f t="shared" si="509"/>
        <v>356.48</v>
      </c>
      <c r="AX534" s="2">
        <f t="shared" si="509"/>
        <v>0</v>
      </c>
      <c r="AY534" s="2">
        <f t="shared" si="509"/>
        <v>356.48</v>
      </c>
      <c r="AZ534" s="2">
        <f t="shared" si="509"/>
        <v>0</v>
      </c>
      <c r="BA534" s="2">
        <f t="shared" si="509"/>
        <v>0</v>
      </c>
      <c r="BB534" s="2">
        <f t="shared" si="509"/>
        <v>0</v>
      </c>
      <c r="BC534" s="2">
        <f t="shared" si="509"/>
        <v>0</v>
      </c>
      <c r="BD534" s="2">
        <f t="shared" si="509"/>
        <v>0</v>
      </c>
      <c r="BE534" s="2"/>
      <c r="BF534" s="2"/>
      <c r="BG534" s="2"/>
      <c r="BH534" s="2"/>
      <c r="BI534" s="2"/>
      <c r="BJ534" s="2"/>
      <c r="BK534" s="2"/>
      <c r="BL534" s="2"/>
      <c r="BM534" s="2"/>
      <c r="BN534" s="2"/>
      <c r="BO534" s="2"/>
      <c r="BP534" s="2"/>
      <c r="BQ534" s="2"/>
      <c r="BR534" s="2"/>
      <c r="BS534" s="2"/>
      <c r="BT534" s="2"/>
      <c r="BU534" s="2"/>
      <c r="BV534" s="2"/>
      <c r="BW534" s="2"/>
      <c r="BX534" s="2">
        <f>ROUND(SUMIF(AA511:AA532,"=1471718271",FQ511:FQ532),2)</f>
        <v>0</v>
      </c>
      <c r="BY534" s="2">
        <f>ROUND(SUMIF(AA511:AA532,"=1471718271",FR511:FR532),2)</f>
        <v>0</v>
      </c>
      <c r="BZ534" s="2">
        <f>ROUND(SUMIF(AA511:AA532,"=1471718271",GL511:GL532),2)</f>
        <v>0</v>
      </c>
      <c r="CA534" s="2">
        <f>ROUND(SUMIF(AA511:AA532,"=1471718271",GM511:GM532),2)</f>
        <v>126579.98</v>
      </c>
      <c r="CB534" s="2">
        <f>ROUND(SUMIF(AA511:AA532,"=1471718271",GN511:GN532),2)</f>
        <v>0</v>
      </c>
      <c r="CC534" s="2">
        <f>ROUND(SUMIF(AA511:AA532,"=1471718271",GO511:GO532),2)</f>
        <v>0</v>
      </c>
      <c r="CD534" s="2">
        <f>ROUND(SUMIF(AA511:AA532,"=1471718271",GP511:GP532),2)</f>
        <v>126579.98</v>
      </c>
      <c r="CE534" s="2">
        <f>AC534-BX534</f>
        <v>356.48</v>
      </c>
      <c r="CF534" s="2">
        <f>AC534-BY534</f>
        <v>356.48</v>
      </c>
      <c r="CG534" s="2">
        <f>BX534-BZ534</f>
        <v>0</v>
      </c>
      <c r="CH534" s="2">
        <f>AC534-BX534-BY534+BZ534</f>
        <v>356.48</v>
      </c>
      <c r="CI534" s="2">
        <f>BY534-BZ534</f>
        <v>0</v>
      </c>
      <c r="CJ534" s="2">
        <f>ROUND(SUMIF(AA511:AA532,"=1471718271",GX511:GX532),2)</f>
        <v>0</v>
      </c>
      <c r="CK534" s="2">
        <f>ROUND(SUMIF(AA511:AA532,"=1471718271",GY511:GY532),2)</f>
        <v>0</v>
      </c>
      <c r="CL534" s="2">
        <f>ROUND(SUMIF(AA511:AA532,"=1471718271",GZ511:GZ532),2)</f>
        <v>0</v>
      </c>
      <c r="CM534" s="2">
        <f>ROUND(SUMIF(AA511:AA532,"=1471718271",HD511:HD532),2)</f>
        <v>0</v>
      </c>
      <c r="CN534" s="2"/>
      <c r="CO534" s="2"/>
      <c r="CP534" s="2"/>
      <c r="CQ534" s="2"/>
      <c r="CR534" s="2"/>
      <c r="CS534" s="2"/>
      <c r="CT534" s="2"/>
      <c r="CU534" s="2"/>
      <c r="CV534" s="2"/>
      <c r="CW534" s="2"/>
      <c r="CX534" s="2"/>
      <c r="CY534" s="2"/>
      <c r="CZ534" s="2"/>
      <c r="DA534" s="2"/>
      <c r="DB534" s="2"/>
      <c r="DC534" s="2"/>
      <c r="DD534" s="2"/>
      <c r="DE534" s="2"/>
      <c r="DF534" s="2"/>
      <c r="DG534" s="3"/>
      <c r="DH534" s="3"/>
      <c r="DI534" s="3"/>
      <c r="DJ534" s="3"/>
      <c r="DK534" s="3"/>
      <c r="DL534" s="3"/>
      <c r="DM534" s="3"/>
      <c r="DN534" s="3"/>
      <c r="DO534" s="3"/>
      <c r="DP534" s="3"/>
      <c r="DQ534" s="3"/>
      <c r="DR534" s="3"/>
      <c r="DS534" s="3"/>
      <c r="DT534" s="3"/>
      <c r="DU534" s="3"/>
      <c r="DV534" s="3"/>
      <c r="DW534" s="3"/>
      <c r="DX534" s="3"/>
      <c r="DY534" s="3"/>
      <c r="DZ534" s="3"/>
      <c r="EA534" s="3"/>
      <c r="EB534" s="3"/>
      <c r="EC534" s="3"/>
      <c r="ED534" s="3"/>
      <c r="EE534" s="3"/>
      <c r="EF534" s="3"/>
      <c r="EG534" s="3"/>
      <c r="EH534" s="3"/>
      <c r="EI534" s="3"/>
      <c r="EJ534" s="3"/>
      <c r="EK534" s="3"/>
      <c r="EL534" s="3"/>
      <c r="EM534" s="3"/>
      <c r="EN534" s="3"/>
      <c r="EO534" s="3"/>
      <c r="EP534" s="3"/>
      <c r="EQ534" s="3"/>
      <c r="ER534" s="3"/>
      <c r="ES534" s="3"/>
      <c r="ET534" s="3"/>
      <c r="EU534" s="3"/>
      <c r="EV534" s="3"/>
      <c r="EW534" s="3"/>
      <c r="EX534" s="3"/>
      <c r="EY534" s="3"/>
      <c r="EZ534" s="3"/>
      <c r="FA534" s="3"/>
      <c r="FB534" s="3"/>
      <c r="FC534" s="3"/>
      <c r="FD534" s="3"/>
      <c r="FE534" s="3"/>
      <c r="FF534" s="3"/>
      <c r="FG534" s="3"/>
      <c r="FH534" s="3"/>
      <c r="FI534" s="3"/>
      <c r="FJ534" s="3"/>
      <c r="FK534" s="3"/>
      <c r="FL534" s="3"/>
      <c r="FM534" s="3"/>
      <c r="FN534" s="3"/>
      <c r="FO534" s="3"/>
      <c r="FP534" s="3"/>
      <c r="FQ534" s="3"/>
      <c r="FR534" s="3"/>
      <c r="FS534" s="3"/>
      <c r="FT534" s="3"/>
      <c r="FU534" s="3"/>
      <c r="FV534" s="3"/>
      <c r="FW534" s="3"/>
      <c r="FX534" s="3"/>
      <c r="FY534" s="3"/>
      <c r="FZ534" s="3"/>
      <c r="GA534" s="3"/>
      <c r="GB534" s="3"/>
      <c r="GC534" s="3"/>
      <c r="GD534" s="3"/>
      <c r="GE534" s="3"/>
      <c r="GF534" s="3"/>
      <c r="GG534" s="3"/>
      <c r="GH534" s="3"/>
      <c r="GI534" s="3"/>
      <c r="GJ534" s="3"/>
      <c r="GK534" s="3"/>
      <c r="GL534" s="3"/>
      <c r="GM534" s="3"/>
      <c r="GN534" s="3"/>
      <c r="GO534" s="3"/>
      <c r="GP534" s="3"/>
      <c r="GQ534" s="3"/>
      <c r="GR534" s="3"/>
      <c r="GS534" s="3"/>
      <c r="GT534" s="3"/>
      <c r="GU534" s="3"/>
      <c r="GV534" s="3"/>
      <c r="GW534" s="3"/>
      <c r="GX534" s="3">
        <v>0</v>
      </c>
    </row>
    <row r="536" spans="1:245" x14ac:dyDescent="0.2">
      <c r="A536" s="4">
        <v>50</v>
      </c>
      <c r="B536" s="4">
        <v>0</v>
      </c>
      <c r="C536" s="4">
        <v>0</v>
      </c>
      <c r="D536" s="4">
        <v>1</v>
      </c>
      <c r="E536" s="4">
        <v>201</v>
      </c>
      <c r="F536" s="4">
        <f>ROUND(Source!O534,O536)</f>
        <v>71639.47</v>
      </c>
      <c r="G536" s="4" t="s">
        <v>98</v>
      </c>
      <c r="H536" s="4" t="s">
        <v>99</v>
      </c>
      <c r="I536" s="4"/>
      <c r="J536" s="4"/>
      <c r="K536" s="4">
        <v>201</v>
      </c>
      <c r="L536" s="4">
        <v>1</v>
      </c>
      <c r="M536" s="4">
        <v>3</v>
      </c>
      <c r="N536" s="4" t="s">
        <v>3</v>
      </c>
      <c r="O536" s="4">
        <v>2</v>
      </c>
      <c r="P536" s="4"/>
      <c r="Q536" s="4"/>
      <c r="R536" s="4"/>
      <c r="S536" s="4"/>
      <c r="T536" s="4"/>
      <c r="U536" s="4"/>
      <c r="V536" s="4"/>
      <c r="W536" s="4">
        <v>36746.25</v>
      </c>
      <c r="X536" s="4">
        <v>1</v>
      </c>
      <c r="Y536" s="4">
        <v>36746.25</v>
      </c>
      <c r="Z536" s="4"/>
      <c r="AA536" s="4"/>
      <c r="AB536" s="4"/>
    </row>
    <row r="537" spans="1:245" x14ac:dyDescent="0.2">
      <c r="A537" s="4">
        <v>50</v>
      </c>
      <c r="B537" s="4">
        <v>0</v>
      </c>
      <c r="C537" s="4">
        <v>0</v>
      </c>
      <c r="D537" s="4">
        <v>1</v>
      </c>
      <c r="E537" s="4">
        <v>202</v>
      </c>
      <c r="F537" s="4">
        <f>ROUND(Source!P534,O537)</f>
        <v>356.48</v>
      </c>
      <c r="G537" s="4" t="s">
        <v>100</v>
      </c>
      <c r="H537" s="4" t="s">
        <v>101</v>
      </c>
      <c r="I537" s="4"/>
      <c r="J537" s="4"/>
      <c r="K537" s="4">
        <v>202</v>
      </c>
      <c r="L537" s="4">
        <v>2</v>
      </c>
      <c r="M537" s="4">
        <v>3</v>
      </c>
      <c r="N537" s="4" t="s">
        <v>3</v>
      </c>
      <c r="O537" s="4">
        <v>2</v>
      </c>
      <c r="P537" s="4"/>
      <c r="Q537" s="4"/>
      <c r="R537" s="4"/>
      <c r="S537" s="4"/>
      <c r="T537" s="4"/>
      <c r="U537" s="4"/>
      <c r="V537" s="4"/>
      <c r="W537" s="4">
        <v>6.3</v>
      </c>
      <c r="X537" s="4">
        <v>1</v>
      </c>
      <c r="Y537" s="4">
        <v>6.3</v>
      </c>
      <c r="Z537" s="4"/>
      <c r="AA537" s="4"/>
      <c r="AB537" s="4"/>
    </row>
    <row r="538" spans="1:245" x14ac:dyDescent="0.2">
      <c r="A538" s="4">
        <v>50</v>
      </c>
      <c r="B538" s="4">
        <v>0</v>
      </c>
      <c r="C538" s="4">
        <v>0</v>
      </c>
      <c r="D538" s="4">
        <v>1</v>
      </c>
      <c r="E538" s="4">
        <v>222</v>
      </c>
      <c r="F538" s="4">
        <f>ROUND(Source!AO534,O538)</f>
        <v>0</v>
      </c>
      <c r="G538" s="4" t="s">
        <v>102</v>
      </c>
      <c r="H538" s="4" t="s">
        <v>103</v>
      </c>
      <c r="I538" s="4"/>
      <c r="J538" s="4"/>
      <c r="K538" s="4">
        <v>222</v>
      </c>
      <c r="L538" s="4">
        <v>3</v>
      </c>
      <c r="M538" s="4">
        <v>3</v>
      </c>
      <c r="N538" s="4" t="s">
        <v>3</v>
      </c>
      <c r="O538" s="4">
        <v>2</v>
      </c>
      <c r="P538" s="4"/>
      <c r="Q538" s="4"/>
      <c r="R538" s="4"/>
      <c r="S538" s="4"/>
      <c r="T538" s="4"/>
      <c r="U538" s="4"/>
      <c r="V538" s="4"/>
      <c r="W538" s="4">
        <v>0</v>
      </c>
      <c r="X538" s="4">
        <v>1</v>
      </c>
      <c r="Y538" s="4">
        <v>0</v>
      </c>
      <c r="Z538" s="4"/>
      <c r="AA538" s="4"/>
      <c r="AB538" s="4"/>
    </row>
    <row r="539" spans="1:245" x14ac:dyDescent="0.2">
      <c r="A539" s="4">
        <v>50</v>
      </c>
      <c r="B539" s="4">
        <v>0</v>
      </c>
      <c r="C539" s="4">
        <v>0</v>
      </c>
      <c r="D539" s="4">
        <v>1</v>
      </c>
      <c r="E539" s="4">
        <v>225</v>
      </c>
      <c r="F539" s="4">
        <f>ROUND(Source!AV534,O539)</f>
        <v>356.48</v>
      </c>
      <c r="G539" s="4" t="s">
        <v>104</v>
      </c>
      <c r="H539" s="4" t="s">
        <v>105</v>
      </c>
      <c r="I539" s="4"/>
      <c r="J539" s="4"/>
      <c r="K539" s="4">
        <v>225</v>
      </c>
      <c r="L539" s="4">
        <v>4</v>
      </c>
      <c r="M539" s="4">
        <v>3</v>
      </c>
      <c r="N539" s="4" t="s">
        <v>3</v>
      </c>
      <c r="O539" s="4">
        <v>2</v>
      </c>
      <c r="P539" s="4"/>
      <c r="Q539" s="4"/>
      <c r="R539" s="4"/>
      <c r="S539" s="4"/>
      <c r="T539" s="4"/>
      <c r="U539" s="4"/>
      <c r="V539" s="4"/>
      <c r="W539" s="4">
        <v>6.3</v>
      </c>
      <c r="X539" s="4">
        <v>1</v>
      </c>
      <c r="Y539" s="4">
        <v>6.3</v>
      </c>
      <c r="Z539" s="4"/>
      <c r="AA539" s="4"/>
      <c r="AB539" s="4"/>
    </row>
    <row r="540" spans="1:245" x14ac:dyDescent="0.2">
      <c r="A540" s="4">
        <v>50</v>
      </c>
      <c r="B540" s="4">
        <v>0</v>
      </c>
      <c r="C540" s="4">
        <v>0</v>
      </c>
      <c r="D540" s="4">
        <v>1</v>
      </c>
      <c r="E540" s="4">
        <v>226</v>
      </c>
      <c r="F540" s="4">
        <f>ROUND(Source!AW534,O540)</f>
        <v>356.48</v>
      </c>
      <c r="G540" s="4" t="s">
        <v>106</v>
      </c>
      <c r="H540" s="4" t="s">
        <v>107</v>
      </c>
      <c r="I540" s="4"/>
      <c r="J540" s="4"/>
      <c r="K540" s="4">
        <v>226</v>
      </c>
      <c r="L540" s="4">
        <v>5</v>
      </c>
      <c r="M540" s="4">
        <v>3</v>
      </c>
      <c r="N540" s="4" t="s">
        <v>3</v>
      </c>
      <c r="O540" s="4">
        <v>2</v>
      </c>
      <c r="P540" s="4"/>
      <c r="Q540" s="4"/>
      <c r="R540" s="4"/>
      <c r="S540" s="4"/>
      <c r="T540" s="4"/>
      <c r="U540" s="4"/>
      <c r="V540" s="4"/>
      <c r="W540" s="4">
        <v>6.3</v>
      </c>
      <c r="X540" s="4">
        <v>1</v>
      </c>
      <c r="Y540" s="4">
        <v>6.3</v>
      </c>
      <c r="Z540" s="4"/>
      <c r="AA540" s="4"/>
      <c r="AB540" s="4"/>
    </row>
    <row r="541" spans="1:245" x14ac:dyDescent="0.2">
      <c r="A541" s="4">
        <v>50</v>
      </c>
      <c r="B541" s="4">
        <v>0</v>
      </c>
      <c r="C541" s="4">
        <v>0</v>
      </c>
      <c r="D541" s="4">
        <v>1</v>
      </c>
      <c r="E541" s="4">
        <v>227</v>
      </c>
      <c r="F541" s="4">
        <f>ROUND(Source!AX534,O541)</f>
        <v>0</v>
      </c>
      <c r="G541" s="4" t="s">
        <v>108</v>
      </c>
      <c r="H541" s="4" t="s">
        <v>109</v>
      </c>
      <c r="I541" s="4"/>
      <c r="J541" s="4"/>
      <c r="K541" s="4">
        <v>227</v>
      </c>
      <c r="L541" s="4">
        <v>6</v>
      </c>
      <c r="M541" s="4">
        <v>3</v>
      </c>
      <c r="N541" s="4" t="s">
        <v>3</v>
      </c>
      <c r="O541" s="4">
        <v>2</v>
      </c>
      <c r="P541" s="4"/>
      <c r="Q541" s="4"/>
      <c r="R541" s="4"/>
      <c r="S541" s="4"/>
      <c r="T541" s="4"/>
      <c r="U541" s="4"/>
      <c r="V541" s="4"/>
      <c r="W541" s="4">
        <v>0</v>
      </c>
      <c r="X541" s="4">
        <v>1</v>
      </c>
      <c r="Y541" s="4">
        <v>0</v>
      </c>
      <c r="Z541" s="4"/>
      <c r="AA541" s="4"/>
      <c r="AB541" s="4"/>
    </row>
    <row r="542" spans="1:245" x14ac:dyDescent="0.2">
      <c r="A542" s="4">
        <v>50</v>
      </c>
      <c r="B542" s="4">
        <v>0</v>
      </c>
      <c r="C542" s="4">
        <v>0</v>
      </c>
      <c r="D542" s="4">
        <v>1</v>
      </c>
      <c r="E542" s="4">
        <v>228</v>
      </c>
      <c r="F542" s="4">
        <f>ROUND(Source!AY534,O542)</f>
        <v>356.48</v>
      </c>
      <c r="G542" s="4" t="s">
        <v>110</v>
      </c>
      <c r="H542" s="4" t="s">
        <v>111</v>
      </c>
      <c r="I542" s="4"/>
      <c r="J542" s="4"/>
      <c r="K542" s="4">
        <v>228</v>
      </c>
      <c r="L542" s="4">
        <v>7</v>
      </c>
      <c r="M542" s="4">
        <v>3</v>
      </c>
      <c r="N542" s="4" t="s">
        <v>3</v>
      </c>
      <c r="O542" s="4">
        <v>2</v>
      </c>
      <c r="P542" s="4"/>
      <c r="Q542" s="4"/>
      <c r="R542" s="4"/>
      <c r="S542" s="4"/>
      <c r="T542" s="4"/>
      <c r="U542" s="4"/>
      <c r="V542" s="4"/>
      <c r="W542" s="4">
        <v>6.3</v>
      </c>
      <c r="X542" s="4">
        <v>1</v>
      </c>
      <c r="Y542" s="4">
        <v>6.3</v>
      </c>
      <c r="Z542" s="4"/>
      <c r="AA542" s="4"/>
      <c r="AB542" s="4"/>
    </row>
    <row r="543" spans="1:245" x14ac:dyDescent="0.2">
      <c r="A543" s="4">
        <v>50</v>
      </c>
      <c r="B543" s="4">
        <v>0</v>
      </c>
      <c r="C543" s="4">
        <v>0</v>
      </c>
      <c r="D543" s="4">
        <v>1</v>
      </c>
      <c r="E543" s="4">
        <v>216</v>
      </c>
      <c r="F543" s="4">
        <f>ROUND(Source!AP534,O543)</f>
        <v>0</v>
      </c>
      <c r="G543" s="4" t="s">
        <v>112</v>
      </c>
      <c r="H543" s="4" t="s">
        <v>113</v>
      </c>
      <c r="I543" s="4"/>
      <c r="J543" s="4"/>
      <c r="K543" s="4">
        <v>216</v>
      </c>
      <c r="L543" s="4">
        <v>8</v>
      </c>
      <c r="M543" s="4">
        <v>3</v>
      </c>
      <c r="N543" s="4" t="s">
        <v>3</v>
      </c>
      <c r="O543" s="4">
        <v>2</v>
      </c>
      <c r="P543" s="4"/>
      <c r="Q543" s="4"/>
      <c r="R543" s="4"/>
      <c r="S543" s="4"/>
      <c r="T543" s="4"/>
      <c r="U543" s="4"/>
      <c r="V543" s="4"/>
      <c r="W543" s="4">
        <v>0</v>
      </c>
      <c r="X543" s="4">
        <v>1</v>
      </c>
      <c r="Y543" s="4">
        <v>0</v>
      </c>
      <c r="Z543" s="4"/>
      <c r="AA543" s="4"/>
      <c r="AB543" s="4"/>
    </row>
    <row r="544" spans="1:245" x14ac:dyDescent="0.2">
      <c r="A544" s="4">
        <v>50</v>
      </c>
      <c r="B544" s="4">
        <v>0</v>
      </c>
      <c r="C544" s="4">
        <v>0</v>
      </c>
      <c r="D544" s="4">
        <v>1</v>
      </c>
      <c r="E544" s="4">
        <v>223</v>
      </c>
      <c r="F544" s="4">
        <f>ROUND(Source!AQ534,O544)</f>
        <v>0</v>
      </c>
      <c r="G544" s="4" t="s">
        <v>114</v>
      </c>
      <c r="H544" s="4" t="s">
        <v>115</v>
      </c>
      <c r="I544" s="4"/>
      <c r="J544" s="4"/>
      <c r="K544" s="4">
        <v>223</v>
      </c>
      <c r="L544" s="4">
        <v>9</v>
      </c>
      <c r="M544" s="4">
        <v>3</v>
      </c>
      <c r="N544" s="4" t="s">
        <v>3</v>
      </c>
      <c r="O544" s="4">
        <v>2</v>
      </c>
      <c r="P544" s="4"/>
      <c r="Q544" s="4"/>
      <c r="R544" s="4"/>
      <c r="S544" s="4"/>
      <c r="T544" s="4"/>
      <c r="U544" s="4"/>
      <c r="V544" s="4"/>
      <c r="W544" s="4">
        <v>0</v>
      </c>
      <c r="X544" s="4">
        <v>1</v>
      </c>
      <c r="Y544" s="4">
        <v>0</v>
      </c>
      <c r="Z544" s="4"/>
      <c r="AA544" s="4"/>
      <c r="AB544" s="4"/>
    </row>
    <row r="545" spans="1:28" x14ac:dyDescent="0.2">
      <c r="A545" s="4">
        <v>50</v>
      </c>
      <c r="B545" s="4">
        <v>0</v>
      </c>
      <c r="C545" s="4">
        <v>0</v>
      </c>
      <c r="D545" s="4">
        <v>1</v>
      </c>
      <c r="E545" s="4">
        <v>229</v>
      </c>
      <c r="F545" s="4">
        <f>ROUND(Source!AZ534,O545)</f>
        <v>0</v>
      </c>
      <c r="G545" s="4" t="s">
        <v>116</v>
      </c>
      <c r="H545" s="4" t="s">
        <v>117</v>
      </c>
      <c r="I545" s="4"/>
      <c r="J545" s="4"/>
      <c r="K545" s="4">
        <v>229</v>
      </c>
      <c r="L545" s="4">
        <v>10</v>
      </c>
      <c r="M545" s="4">
        <v>3</v>
      </c>
      <c r="N545" s="4" t="s">
        <v>3</v>
      </c>
      <c r="O545" s="4">
        <v>2</v>
      </c>
      <c r="P545" s="4"/>
      <c r="Q545" s="4"/>
      <c r="R545" s="4"/>
      <c r="S545" s="4"/>
      <c r="T545" s="4"/>
      <c r="U545" s="4"/>
      <c r="V545" s="4"/>
      <c r="W545" s="4">
        <v>0</v>
      </c>
      <c r="X545" s="4">
        <v>1</v>
      </c>
      <c r="Y545" s="4">
        <v>0</v>
      </c>
      <c r="Z545" s="4"/>
      <c r="AA545" s="4"/>
      <c r="AB545" s="4"/>
    </row>
    <row r="546" spans="1:28" x14ac:dyDescent="0.2">
      <c r="A546" s="4">
        <v>50</v>
      </c>
      <c r="B546" s="4">
        <v>0</v>
      </c>
      <c r="C546" s="4">
        <v>0</v>
      </c>
      <c r="D546" s="4">
        <v>1</v>
      </c>
      <c r="E546" s="4">
        <v>203</v>
      </c>
      <c r="F546" s="4">
        <f>ROUND(Source!Q534,O546)</f>
        <v>18032.96</v>
      </c>
      <c r="G546" s="4" t="s">
        <v>118</v>
      </c>
      <c r="H546" s="4" t="s">
        <v>119</v>
      </c>
      <c r="I546" s="4"/>
      <c r="J546" s="4"/>
      <c r="K546" s="4">
        <v>203</v>
      </c>
      <c r="L546" s="4">
        <v>11</v>
      </c>
      <c r="M546" s="4">
        <v>3</v>
      </c>
      <c r="N546" s="4" t="s">
        <v>3</v>
      </c>
      <c r="O546" s="4">
        <v>2</v>
      </c>
      <c r="P546" s="4"/>
      <c r="Q546" s="4"/>
      <c r="R546" s="4"/>
      <c r="S546" s="4"/>
      <c r="T546" s="4"/>
      <c r="U546" s="4"/>
      <c r="V546" s="4"/>
      <c r="W546" s="4">
        <v>15675.2</v>
      </c>
      <c r="X546" s="4">
        <v>1</v>
      </c>
      <c r="Y546" s="4">
        <v>15675.2</v>
      </c>
      <c r="Z546" s="4"/>
      <c r="AA546" s="4"/>
      <c r="AB546" s="4"/>
    </row>
    <row r="547" spans="1:28" x14ac:dyDescent="0.2">
      <c r="A547" s="4">
        <v>50</v>
      </c>
      <c r="B547" s="4">
        <v>0</v>
      </c>
      <c r="C547" s="4">
        <v>0</v>
      </c>
      <c r="D547" s="4">
        <v>1</v>
      </c>
      <c r="E547" s="4">
        <v>231</v>
      </c>
      <c r="F547" s="4">
        <f>ROUND(Source!BB534,O547)</f>
        <v>0</v>
      </c>
      <c r="G547" s="4" t="s">
        <v>120</v>
      </c>
      <c r="H547" s="4" t="s">
        <v>121</v>
      </c>
      <c r="I547" s="4"/>
      <c r="J547" s="4"/>
      <c r="K547" s="4">
        <v>231</v>
      </c>
      <c r="L547" s="4">
        <v>12</v>
      </c>
      <c r="M547" s="4">
        <v>3</v>
      </c>
      <c r="N547" s="4" t="s">
        <v>3</v>
      </c>
      <c r="O547" s="4">
        <v>2</v>
      </c>
      <c r="P547" s="4"/>
      <c r="Q547" s="4"/>
      <c r="R547" s="4"/>
      <c r="S547" s="4"/>
      <c r="T547" s="4"/>
      <c r="U547" s="4"/>
      <c r="V547" s="4"/>
      <c r="W547" s="4">
        <v>0</v>
      </c>
      <c r="X547" s="4">
        <v>1</v>
      </c>
      <c r="Y547" s="4">
        <v>0</v>
      </c>
      <c r="Z547" s="4"/>
      <c r="AA547" s="4"/>
      <c r="AB547" s="4"/>
    </row>
    <row r="548" spans="1:28" x14ac:dyDescent="0.2">
      <c r="A548" s="4">
        <v>50</v>
      </c>
      <c r="B548" s="4">
        <v>0</v>
      </c>
      <c r="C548" s="4">
        <v>0</v>
      </c>
      <c r="D548" s="4">
        <v>1</v>
      </c>
      <c r="E548" s="4">
        <v>204</v>
      </c>
      <c r="F548" s="4">
        <f>ROUND(Source!R534,O548)</f>
        <v>11426.34</v>
      </c>
      <c r="G548" s="4" t="s">
        <v>122</v>
      </c>
      <c r="H548" s="4" t="s">
        <v>123</v>
      </c>
      <c r="I548" s="4"/>
      <c r="J548" s="4"/>
      <c r="K548" s="4">
        <v>204</v>
      </c>
      <c r="L548" s="4">
        <v>13</v>
      </c>
      <c r="M548" s="4">
        <v>3</v>
      </c>
      <c r="N548" s="4" t="s">
        <v>3</v>
      </c>
      <c r="O548" s="4">
        <v>2</v>
      </c>
      <c r="P548" s="4"/>
      <c r="Q548" s="4"/>
      <c r="R548" s="4"/>
      <c r="S548" s="4"/>
      <c r="T548" s="4"/>
      <c r="U548" s="4"/>
      <c r="V548" s="4"/>
      <c r="W548" s="4">
        <v>9939.1</v>
      </c>
      <c r="X548" s="4">
        <v>1</v>
      </c>
      <c r="Y548" s="4">
        <v>9939.1</v>
      </c>
      <c r="Z548" s="4"/>
      <c r="AA548" s="4"/>
      <c r="AB548" s="4"/>
    </row>
    <row r="549" spans="1:28" x14ac:dyDescent="0.2">
      <c r="A549" s="4">
        <v>50</v>
      </c>
      <c r="B549" s="4">
        <v>0</v>
      </c>
      <c r="C549" s="4">
        <v>0</v>
      </c>
      <c r="D549" s="4">
        <v>1</v>
      </c>
      <c r="E549" s="4">
        <v>205</v>
      </c>
      <c r="F549" s="4">
        <f>ROUND(Source!S534,O549)</f>
        <v>53250.03</v>
      </c>
      <c r="G549" s="4" t="s">
        <v>124</v>
      </c>
      <c r="H549" s="4" t="s">
        <v>125</v>
      </c>
      <c r="I549" s="4"/>
      <c r="J549" s="4"/>
      <c r="K549" s="4">
        <v>205</v>
      </c>
      <c r="L549" s="4">
        <v>14</v>
      </c>
      <c r="M549" s="4">
        <v>3</v>
      </c>
      <c r="N549" s="4" t="s">
        <v>3</v>
      </c>
      <c r="O549" s="4">
        <v>2</v>
      </c>
      <c r="P549" s="4"/>
      <c r="Q549" s="4"/>
      <c r="R549" s="4"/>
      <c r="S549" s="4"/>
      <c r="T549" s="4"/>
      <c r="U549" s="4"/>
      <c r="V549" s="4"/>
      <c r="W549" s="4">
        <v>21064.75</v>
      </c>
      <c r="X549" s="4">
        <v>1</v>
      </c>
      <c r="Y549" s="4">
        <v>21064.75</v>
      </c>
      <c r="Z549" s="4"/>
      <c r="AA549" s="4"/>
      <c r="AB549" s="4"/>
    </row>
    <row r="550" spans="1:28" x14ac:dyDescent="0.2">
      <c r="A550" s="4">
        <v>50</v>
      </c>
      <c r="B550" s="4">
        <v>0</v>
      </c>
      <c r="C550" s="4">
        <v>0</v>
      </c>
      <c r="D550" s="4">
        <v>1</v>
      </c>
      <c r="E550" s="4">
        <v>232</v>
      </c>
      <c r="F550" s="4">
        <f>ROUND(Source!BC534,O550)</f>
        <v>0</v>
      </c>
      <c r="G550" s="4" t="s">
        <v>126</v>
      </c>
      <c r="H550" s="4" t="s">
        <v>127</v>
      </c>
      <c r="I550" s="4"/>
      <c r="J550" s="4"/>
      <c r="K550" s="4">
        <v>232</v>
      </c>
      <c r="L550" s="4">
        <v>15</v>
      </c>
      <c r="M550" s="4">
        <v>3</v>
      </c>
      <c r="N550" s="4" t="s">
        <v>3</v>
      </c>
      <c r="O550" s="4">
        <v>2</v>
      </c>
      <c r="P550" s="4"/>
      <c r="Q550" s="4"/>
      <c r="R550" s="4"/>
      <c r="S550" s="4"/>
      <c r="T550" s="4"/>
      <c r="U550" s="4"/>
      <c r="V550" s="4"/>
      <c r="W550" s="4">
        <v>0</v>
      </c>
      <c r="X550" s="4">
        <v>1</v>
      </c>
      <c r="Y550" s="4">
        <v>0</v>
      </c>
      <c r="Z550" s="4"/>
      <c r="AA550" s="4"/>
      <c r="AB550" s="4"/>
    </row>
    <row r="551" spans="1:28" x14ac:dyDescent="0.2">
      <c r="A551" s="4">
        <v>50</v>
      </c>
      <c r="B551" s="4">
        <v>0</v>
      </c>
      <c r="C551" s="4">
        <v>0</v>
      </c>
      <c r="D551" s="4">
        <v>1</v>
      </c>
      <c r="E551" s="4">
        <v>214</v>
      </c>
      <c r="F551" s="4">
        <f>ROUND(Source!AS534,O551)</f>
        <v>0</v>
      </c>
      <c r="G551" s="4" t="s">
        <v>128</v>
      </c>
      <c r="H551" s="4" t="s">
        <v>129</v>
      </c>
      <c r="I551" s="4"/>
      <c r="J551" s="4"/>
      <c r="K551" s="4">
        <v>214</v>
      </c>
      <c r="L551" s="4">
        <v>16</v>
      </c>
      <c r="M551" s="4">
        <v>3</v>
      </c>
      <c r="N551" s="4" t="s">
        <v>3</v>
      </c>
      <c r="O551" s="4">
        <v>2</v>
      </c>
      <c r="P551" s="4"/>
      <c r="Q551" s="4"/>
      <c r="R551" s="4"/>
      <c r="S551" s="4"/>
      <c r="T551" s="4"/>
      <c r="U551" s="4"/>
      <c r="V551" s="4"/>
      <c r="W551" s="4">
        <v>0</v>
      </c>
      <c r="X551" s="4">
        <v>1</v>
      </c>
      <c r="Y551" s="4">
        <v>0</v>
      </c>
      <c r="Z551" s="4"/>
      <c r="AA551" s="4"/>
      <c r="AB551" s="4"/>
    </row>
    <row r="552" spans="1:28" x14ac:dyDescent="0.2">
      <c r="A552" s="4">
        <v>50</v>
      </c>
      <c r="B552" s="4">
        <v>0</v>
      </c>
      <c r="C552" s="4">
        <v>0</v>
      </c>
      <c r="D552" s="4">
        <v>1</v>
      </c>
      <c r="E552" s="4">
        <v>215</v>
      </c>
      <c r="F552" s="4">
        <f>ROUND(Source!AT534,O552)</f>
        <v>0</v>
      </c>
      <c r="G552" s="4" t="s">
        <v>130</v>
      </c>
      <c r="H552" s="4" t="s">
        <v>131</v>
      </c>
      <c r="I552" s="4"/>
      <c r="J552" s="4"/>
      <c r="K552" s="4">
        <v>215</v>
      </c>
      <c r="L552" s="4">
        <v>17</v>
      </c>
      <c r="M552" s="4">
        <v>3</v>
      </c>
      <c r="N552" s="4" t="s">
        <v>3</v>
      </c>
      <c r="O552" s="4">
        <v>2</v>
      </c>
      <c r="P552" s="4"/>
      <c r="Q552" s="4"/>
      <c r="R552" s="4"/>
      <c r="S552" s="4"/>
      <c r="T552" s="4"/>
      <c r="U552" s="4"/>
      <c r="V552" s="4"/>
      <c r="W552" s="4">
        <v>0</v>
      </c>
      <c r="X552" s="4">
        <v>1</v>
      </c>
      <c r="Y552" s="4">
        <v>0</v>
      </c>
      <c r="Z552" s="4"/>
      <c r="AA552" s="4"/>
      <c r="AB552" s="4"/>
    </row>
    <row r="553" spans="1:28" x14ac:dyDescent="0.2">
      <c r="A553" s="4">
        <v>50</v>
      </c>
      <c r="B553" s="4">
        <v>0</v>
      </c>
      <c r="C553" s="4">
        <v>0</v>
      </c>
      <c r="D553" s="4">
        <v>1</v>
      </c>
      <c r="E553" s="4">
        <v>217</v>
      </c>
      <c r="F553" s="4">
        <f>ROUND(Source!AU534,O553)</f>
        <v>126579.98</v>
      </c>
      <c r="G553" s="4" t="s">
        <v>132</v>
      </c>
      <c r="H553" s="4" t="s">
        <v>133</v>
      </c>
      <c r="I553" s="4"/>
      <c r="J553" s="4"/>
      <c r="K553" s="4">
        <v>217</v>
      </c>
      <c r="L553" s="4">
        <v>18</v>
      </c>
      <c r="M553" s="4">
        <v>3</v>
      </c>
      <c r="N553" s="4" t="s">
        <v>3</v>
      </c>
      <c r="O553" s="4">
        <v>2</v>
      </c>
      <c r="P553" s="4"/>
      <c r="Q553" s="4"/>
      <c r="R553" s="4"/>
      <c r="S553" s="4"/>
      <c r="T553" s="4"/>
      <c r="U553" s="4"/>
      <c r="V553" s="4"/>
      <c r="W553" s="4">
        <v>64332.28</v>
      </c>
      <c r="X553" s="4">
        <v>1</v>
      </c>
      <c r="Y553" s="4">
        <v>64332.28</v>
      </c>
      <c r="Z553" s="4"/>
      <c r="AA553" s="4"/>
      <c r="AB553" s="4"/>
    </row>
    <row r="554" spans="1:28" x14ac:dyDescent="0.2">
      <c r="A554" s="4">
        <v>50</v>
      </c>
      <c r="B554" s="4">
        <v>0</v>
      </c>
      <c r="C554" s="4">
        <v>0</v>
      </c>
      <c r="D554" s="4">
        <v>1</v>
      </c>
      <c r="E554" s="4">
        <v>230</v>
      </c>
      <c r="F554" s="4">
        <f>ROUND(Source!BA534,O554)</f>
        <v>0</v>
      </c>
      <c r="G554" s="4" t="s">
        <v>134</v>
      </c>
      <c r="H554" s="4" t="s">
        <v>135</v>
      </c>
      <c r="I554" s="4"/>
      <c r="J554" s="4"/>
      <c r="K554" s="4">
        <v>230</v>
      </c>
      <c r="L554" s="4">
        <v>19</v>
      </c>
      <c r="M554" s="4">
        <v>3</v>
      </c>
      <c r="N554" s="4" t="s">
        <v>3</v>
      </c>
      <c r="O554" s="4">
        <v>2</v>
      </c>
      <c r="P554" s="4"/>
      <c r="Q554" s="4"/>
      <c r="R554" s="4"/>
      <c r="S554" s="4"/>
      <c r="T554" s="4"/>
      <c r="U554" s="4"/>
      <c r="V554" s="4"/>
      <c r="W554" s="4">
        <v>0</v>
      </c>
      <c r="X554" s="4">
        <v>1</v>
      </c>
      <c r="Y554" s="4">
        <v>0</v>
      </c>
      <c r="Z554" s="4"/>
      <c r="AA554" s="4"/>
      <c r="AB554" s="4"/>
    </row>
    <row r="555" spans="1:28" x14ac:dyDescent="0.2">
      <c r="A555" s="4">
        <v>50</v>
      </c>
      <c r="B555" s="4">
        <v>0</v>
      </c>
      <c r="C555" s="4">
        <v>0</v>
      </c>
      <c r="D555" s="4">
        <v>1</v>
      </c>
      <c r="E555" s="4">
        <v>206</v>
      </c>
      <c r="F555" s="4">
        <f>ROUND(Source!T534,O555)</f>
        <v>0</v>
      </c>
      <c r="G555" s="4" t="s">
        <v>136</v>
      </c>
      <c r="H555" s="4" t="s">
        <v>137</v>
      </c>
      <c r="I555" s="4"/>
      <c r="J555" s="4"/>
      <c r="K555" s="4">
        <v>206</v>
      </c>
      <c r="L555" s="4">
        <v>20</v>
      </c>
      <c r="M555" s="4">
        <v>3</v>
      </c>
      <c r="N555" s="4" t="s">
        <v>3</v>
      </c>
      <c r="O555" s="4">
        <v>2</v>
      </c>
      <c r="P555" s="4"/>
      <c r="Q555" s="4"/>
      <c r="R555" s="4"/>
      <c r="S555" s="4"/>
      <c r="T555" s="4"/>
      <c r="U555" s="4"/>
      <c r="V555" s="4"/>
      <c r="W555" s="4">
        <v>0</v>
      </c>
      <c r="X555" s="4">
        <v>1</v>
      </c>
      <c r="Y555" s="4">
        <v>0</v>
      </c>
      <c r="Z555" s="4"/>
      <c r="AA555" s="4"/>
      <c r="AB555" s="4"/>
    </row>
    <row r="556" spans="1:28" x14ac:dyDescent="0.2">
      <c r="A556" s="4">
        <v>50</v>
      </c>
      <c r="B556" s="4">
        <v>0</v>
      </c>
      <c r="C556" s="4">
        <v>0</v>
      </c>
      <c r="D556" s="4">
        <v>1</v>
      </c>
      <c r="E556" s="4">
        <v>207</v>
      </c>
      <c r="F556" s="4">
        <f>Source!U534</f>
        <v>93.953000000000017</v>
      </c>
      <c r="G556" s="4" t="s">
        <v>138</v>
      </c>
      <c r="H556" s="4" t="s">
        <v>139</v>
      </c>
      <c r="I556" s="4"/>
      <c r="J556" s="4"/>
      <c r="K556" s="4">
        <v>207</v>
      </c>
      <c r="L556" s="4">
        <v>21</v>
      </c>
      <c r="M556" s="4">
        <v>3</v>
      </c>
      <c r="N556" s="4" t="s">
        <v>3</v>
      </c>
      <c r="O556" s="4">
        <v>-1</v>
      </c>
      <c r="P556" s="4"/>
      <c r="Q556" s="4"/>
      <c r="R556" s="4"/>
      <c r="S556" s="4"/>
      <c r="T556" s="4"/>
      <c r="U556" s="4"/>
      <c r="V556" s="4"/>
      <c r="W556" s="4">
        <v>32.130000000000003</v>
      </c>
      <c r="X556" s="4">
        <v>1</v>
      </c>
      <c r="Y556" s="4">
        <v>32.130000000000003</v>
      </c>
      <c r="Z556" s="4"/>
      <c r="AA556" s="4"/>
      <c r="AB556" s="4"/>
    </row>
    <row r="557" spans="1:28" x14ac:dyDescent="0.2">
      <c r="A557" s="4">
        <v>50</v>
      </c>
      <c r="B557" s="4">
        <v>0</v>
      </c>
      <c r="C557" s="4">
        <v>0</v>
      </c>
      <c r="D557" s="4">
        <v>1</v>
      </c>
      <c r="E557" s="4">
        <v>208</v>
      </c>
      <c r="F557" s="4">
        <f>Source!V534</f>
        <v>0</v>
      </c>
      <c r="G557" s="4" t="s">
        <v>140</v>
      </c>
      <c r="H557" s="4" t="s">
        <v>141</v>
      </c>
      <c r="I557" s="4"/>
      <c r="J557" s="4"/>
      <c r="K557" s="4">
        <v>208</v>
      </c>
      <c r="L557" s="4">
        <v>22</v>
      </c>
      <c r="M557" s="4">
        <v>3</v>
      </c>
      <c r="N557" s="4" t="s">
        <v>3</v>
      </c>
      <c r="O557" s="4">
        <v>-1</v>
      </c>
      <c r="P557" s="4"/>
      <c r="Q557" s="4"/>
      <c r="R557" s="4"/>
      <c r="S557" s="4"/>
      <c r="T557" s="4"/>
      <c r="U557" s="4"/>
      <c r="V557" s="4"/>
      <c r="W557" s="4">
        <v>0</v>
      </c>
      <c r="X557" s="4">
        <v>1</v>
      </c>
      <c r="Y557" s="4">
        <v>0</v>
      </c>
      <c r="Z557" s="4"/>
      <c r="AA557" s="4"/>
      <c r="AB557" s="4"/>
    </row>
    <row r="558" spans="1:28" x14ac:dyDescent="0.2">
      <c r="A558" s="4">
        <v>50</v>
      </c>
      <c r="B558" s="4">
        <v>0</v>
      </c>
      <c r="C558" s="4">
        <v>0</v>
      </c>
      <c r="D558" s="4">
        <v>1</v>
      </c>
      <c r="E558" s="4">
        <v>209</v>
      </c>
      <c r="F558" s="4">
        <f>ROUND(Source!W534,O558)</f>
        <v>0</v>
      </c>
      <c r="G558" s="4" t="s">
        <v>142</v>
      </c>
      <c r="H558" s="4" t="s">
        <v>143</v>
      </c>
      <c r="I558" s="4"/>
      <c r="J558" s="4"/>
      <c r="K558" s="4">
        <v>209</v>
      </c>
      <c r="L558" s="4">
        <v>23</v>
      </c>
      <c r="M558" s="4">
        <v>3</v>
      </c>
      <c r="N558" s="4" t="s">
        <v>3</v>
      </c>
      <c r="O558" s="4">
        <v>2</v>
      </c>
      <c r="P558" s="4"/>
      <c r="Q558" s="4"/>
      <c r="R558" s="4"/>
      <c r="S558" s="4"/>
      <c r="T558" s="4"/>
      <c r="U558" s="4"/>
      <c r="V558" s="4"/>
      <c r="W558" s="4">
        <v>0</v>
      </c>
      <c r="X558" s="4">
        <v>1</v>
      </c>
      <c r="Y558" s="4">
        <v>0</v>
      </c>
      <c r="Z558" s="4"/>
      <c r="AA558" s="4"/>
      <c r="AB558" s="4"/>
    </row>
    <row r="559" spans="1:28" x14ac:dyDescent="0.2">
      <c r="A559" s="4">
        <v>50</v>
      </c>
      <c r="B559" s="4">
        <v>0</v>
      </c>
      <c r="C559" s="4">
        <v>0</v>
      </c>
      <c r="D559" s="4">
        <v>1</v>
      </c>
      <c r="E559" s="4">
        <v>233</v>
      </c>
      <c r="F559" s="4">
        <f>ROUND(Source!BD534,O559)</f>
        <v>0</v>
      </c>
      <c r="G559" s="4" t="s">
        <v>144</v>
      </c>
      <c r="H559" s="4" t="s">
        <v>145</v>
      </c>
      <c r="I559" s="4"/>
      <c r="J559" s="4"/>
      <c r="K559" s="4">
        <v>233</v>
      </c>
      <c r="L559" s="4">
        <v>24</v>
      </c>
      <c r="M559" s="4">
        <v>3</v>
      </c>
      <c r="N559" s="4" t="s">
        <v>3</v>
      </c>
      <c r="O559" s="4">
        <v>2</v>
      </c>
      <c r="P559" s="4"/>
      <c r="Q559" s="4"/>
      <c r="R559" s="4"/>
      <c r="S559" s="4"/>
      <c r="T559" s="4"/>
      <c r="U559" s="4"/>
      <c r="V559" s="4"/>
      <c r="W559" s="4">
        <v>0</v>
      </c>
      <c r="X559" s="4">
        <v>1</v>
      </c>
      <c r="Y559" s="4">
        <v>0</v>
      </c>
      <c r="Z559" s="4"/>
      <c r="AA559" s="4"/>
      <c r="AB559" s="4"/>
    </row>
    <row r="560" spans="1:28" x14ac:dyDescent="0.2">
      <c r="A560" s="4">
        <v>50</v>
      </c>
      <c r="B560" s="4">
        <v>0</v>
      </c>
      <c r="C560" s="4">
        <v>0</v>
      </c>
      <c r="D560" s="4">
        <v>1</v>
      </c>
      <c r="E560" s="4">
        <v>210</v>
      </c>
      <c r="F560" s="4">
        <f>ROUND(Source!X534,O560)</f>
        <v>37275.03</v>
      </c>
      <c r="G560" s="4" t="s">
        <v>146</v>
      </c>
      <c r="H560" s="4" t="s">
        <v>147</v>
      </c>
      <c r="I560" s="4"/>
      <c r="J560" s="4"/>
      <c r="K560" s="4">
        <v>210</v>
      </c>
      <c r="L560" s="4">
        <v>25</v>
      </c>
      <c r="M560" s="4">
        <v>3</v>
      </c>
      <c r="N560" s="4" t="s">
        <v>3</v>
      </c>
      <c r="O560" s="4">
        <v>2</v>
      </c>
      <c r="P560" s="4"/>
      <c r="Q560" s="4"/>
      <c r="R560" s="4"/>
      <c r="S560" s="4"/>
      <c r="T560" s="4"/>
      <c r="U560" s="4"/>
      <c r="V560" s="4"/>
      <c r="W560" s="4">
        <v>14745.32</v>
      </c>
      <c r="X560" s="4">
        <v>1</v>
      </c>
      <c r="Y560" s="4">
        <v>14745.32</v>
      </c>
      <c r="Z560" s="4"/>
      <c r="AA560" s="4"/>
      <c r="AB560" s="4"/>
    </row>
    <row r="561" spans="1:245" x14ac:dyDescent="0.2">
      <c r="A561" s="4">
        <v>50</v>
      </c>
      <c r="B561" s="4">
        <v>0</v>
      </c>
      <c r="C561" s="4">
        <v>0</v>
      </c>
      <c r="D561" s="4">
        <v>1</v>
      </c>
      <c r="E561" s="4">
        <v>211</v>
      </c>
      <c r="F561" s="4">
        <f>ROUND(Source!Y534,O561)</f>
        <v>5325.01</v>
      </c>
      <c r="G561" s="4" t="s">
        <v>148</v>
      </c>
      <c r="H561" s="4" t="s">
        <v>149</v>
      </c>
      <c r="I561" s="4"/>
      <c r="J561" s="4"/>
      <c r="K561" s="4">
        <v>211</v>
      </c>
      <c r="L561" s="4">
        <v>26</v>
      </c>
      <c r="M561" s="4">
        <v>3</v>
      </c>
      <c r="N561" s="4" t="s">
        <v>3</v>
      </c>
      <c r="O561" s="4">
        <v>2</v>
      </c>
      <c r="P561" s="4"/>
      <c r="Q561" s="4"/>
      <c r="R561" s="4"/>
      <c r="S561" s="4"/>
      <c r="T561" s="4"/>
      <c r="U561" s="4"/>
      <c r="V561" s="4"/>
      <c r="W561" s="4">
        <v>2106.48</v>
      </c>
      <c r="X561" s="4">
        <v>1</v>
      </c>
      <c r="Y561" s="4">
        <v>2106.48</v>
      </c>
      <c r="Z561" s="4"/>
      <c r="AA561" s="4"/>
      <c r="AB561" s="4"/>
    </row>
    <row r="562" spans="1:245" x14ac:dyDescent="0.2">
      <c r="A562" s="4">
        <v>50</v>
      </c>
      <c r="B562" s="4">
        <v>0</v>
      </c>
      <c r="C562" s="4">
        <v>0</v>
      </c>
      <c r="D562" s="4">
        <v>1</v>
      </c>
      <c r="E562" s="4">
        <v>224</v>
      </c>
      <c r="F562" s="4">
        <f>ROUND(Source!AR534,O562)</f>
        <v>126579.98</v>
      </c>
      <c r="G562" s="4" t="s">
        <v>150</v>
      </c>
      <c r="H562" s="4" t="s">
        <v>151</v>
      </c>
      <c r="I562" s="4"/>
      <c r="J562" s="4"/>
      <c r="K562" s="4">
        <v>224</v>
      </c>
      <c r="L562" s="4">
        <v>27</v>
      </c>
      <c r="M562" s="4">
        <v>3</v>
      </c>
      <c r="N562" s="4" t="s">
        <v>3</v>
      </c>
      <c r="O562" s="4">
        <v>2</v>
      </c>
      <c r="P562" s="4"/>
      <c r="Q562" s="4"/>
      <c r="R562" s="4"/>
      <c r="S562" s="4"/>
      <c r="T562" s="4"/>
      <c r="U562" s="4"/>
      <c r="V562" s="4"/>
      <c r="W562" s="4">
        <v>64332.28</v>
      </c>
      <c r="X562" s="4">
        <v>1</v>
      </c>
      <c r="Y562" s="4">
        <v>64332.28</v>
      </c>
      <c r="Z562" s="4"/>
      <c r="AA562" s="4"/>
      <c r="AB562" s="4"/>
    </row>
    <row r="564" spans="1:245" x14ac:dyDescent="0.2">
      <c r="A564" s="1">
        <v>5</v>
      </c>
      <c r="B564" s="1">
        <v>1</v>
      </c>
      <c r="C564" s="1"/>
      <c r="D564" s="1">
        <f>ROW(A572)</f>
        <v>572</v>
      </c>
      <c r="E564" s="1"/>
      <c r="F564" s="1" t="s">
        <v>14</v>
      </c>
      <c r="G564" s="1" t="s">
        <v>152</v>
      </c>
      <c r="H564" s="1" t="s">
        <v>3</v>
      </c>
      <c r="I564" s="1">
        <v>0</v>
      </c>
      <c r="J564" s="1"/>
      <c r="K564" s="1">
        <v>-1</v>
      </c>
      <c r="L564" s="1"/>
      <c r="M564" s="1" t="s">
        <v>3</v>
      </c>
      <c r="N564" s="1"/>
      <c r="O564" s="1"/>
      <c r="P564" s="1"/>
      <c r="Q564" s="1"/>
      <c r="R564" s="1"/>
      <c r="S564" s="1">
        <v>0</v>
      </c>
      <c r="T564" s="1"/>
      <c r="U564" s="1" t="s">
        <v>3</v>
      </c>
      <c r="V564" s="1">
        <v>0</v>
      </c>
      <c r="W564" s="1"/>
      <c r="X564" s="1"/>
      <c r="Y564" s="1"/>
      <c r="Z564" s="1"/>
      <c r="AA564" s="1"/>
      <c r="AB564" s="1" t="s">
        <v>3</v>
      </c>
      <c r="AC564" s="1" t="s">
        <v>3</v>
      </c>
      <c r="AD564" s="1" t="s">
        <v>3</v>
      </c>
      <c r="AE564" s="1" t="s">
        <v>3</v>
      </c>
      <c r="AF564" s="1" t="s">
        <v>3</v>
      </c>
      <c r="AG564" s="1" t="s">
        <v>3</v>
      </c>
      <c r="AH564" s="1"/>
      <c r="AI564" s="1"/>
      <c r="AJ564" s="1"/>
      <c r="AK564" s="1"/>
      <c r="AL564" s="1"/>
      <c r="AM564" s="1"/>
      <c r="AN564" s="1"/>
      <c r="AO564" s="1"/>
      <c r="AP564" s="1" t="s">
        <v>3</v>
      </c>
      <c r="AQ564" s="1" t="s">
        <v>3</v>
      </c>
      <c r="AR564" s="1" t="s">
        <v>3</v>
      </c>
      <c r="AS564" s="1"/>
      <c r="AT564" s="1"/>
      <c r="AU564" s="1"/>
      <c r="AV564" s="1"/>
      <c r="AW564" s="1"/>
      <c r="AX564" s="1"/>
      <c r="AY564" s="1"/>
      <c r="AZ564" s="1" t="s">
        <v>3</v>
      </c>
      <c r="BA564" s="1"/>
      <c r="BB564" s="1" t="s">
        <v>3</v>
      </c>
      <c r="BC564" s="1" t="s">
        <v>3</v>
      </c>
      <c r="BD564" s="1" t="s">
        <v>3</v>
      </c>
      <c r="BE564" s="1" t="s">
        <v>3</v>
      </c>
      <c r="BF564" s="1" t="s">
        <v>3</v>
      </c>
      <c r="BG564" s="1" t="s">
        <v>3</v>
      </c>
      <c r="BH564" s="1" t="s">
        <v>3</v>
      </c>
      <c r="BI564" s="1" t="s">
        <v>3</v>
      </c>
      <c r="BJ564" s="1" t="s">
        <v>3</v>
      </c>
      <c r="BK564" s="1" t="s">
        <v>3</v>
      </c>
      <c r="BL564" s="1" t="s">
        <v>3</v>
      </c>
      <c r="BM564" s="1" t="s">
        <v>3</v>
      </c>
      <c r="BN564" s="1" t="s">
        <v>3</v>
      </c>
      <c r="BO564" s="1" t="s">
        <v>3</v>
      </c>
      <c r="BP564" s="1" t="s">
        <v>3</v>
      </c>
      <c r="BQ564" s="1"/>
      <c r="BR564" s="1"/>
      <c r="BS564" s="1"/>
      <c r="BT564" s="1"/>
      <c r="BU564" s="1"/>
      <c r="BV564" s="1"/>
      <c r="BW564" s="1"/>
      <c r="BX564" s="1">
        <v>0</v>
      </c>
      <c r="BY564" s="1"/>
      <c r="BZ564" s="1"/>
      <c r="CA564" s="1"/>
      <c r="CB564" s="1"/>
      <c r="CC564" s="1"/>
      <c r="CD564" s="1"/>
      <c r="CE564" s="1"/>
      <c r="CF564" s="1"/>
      <c r="CG564" s="1"/>
      <c r="CH564" s="1"/>
      <c r="CI564" s="1"/>
      <c r="CJ564" s="1">
        <v>0</v>
      </c>
    </row>
    <row r="566" spans="1:245" x14ac:dyDescent="0.2">
      <c r="A566" s="2">
        <v>52</v>
      </c>
      <c r="B566" s="2">
        <f t="shared" ref="B566:G566" si="510">B572</f>
        <v>1</v>
      </c>
      <c r="C566" s="2">
        <f t="shared" si="510"/>
        <v>5</v>
      </c>
      <c r="D566" s="2">
        <f t="shared" si="510"/>
        <v>564</v>
      </c>
      <c r="E566" s="2">
        <f t="shared" si="510"/>
        <v>0</v>
      </c>
      <c r="F566" s="2" t="str">
        <f t="shared" si="510"/>
        <v>Новый подраздел</v>
      </c>
      <c r="G566" s="2" t="str">
        <f t="shared" si="510"/>
        <v>Отопление</v>
      </c>
      <c r="H566" s="2"/>
      <c r="I566" s="2"/>
      <c r="J566" s="2"/>
      <c r="K566" s="2"/>
      <c r="L566" s="2"/>
      <c r="M566" s="2"/>
      <c r="N566" s="2"/>
      <c r="O566" s="2">
        <f t="shared" ref="O566:AT566" si="511">O572</f>
        <v>2666.4</v>
      </c>
      <c r="P566" s="2">
        <f t="shared" si="511"/>
        <v>66</v>
      </c>
      <c r="Q566" s="2">
        <f t="shared" si="511"/>
        <v>6.9</v>
      </c>
      <c r="R566" s="2">
        <f t="shared" si="511"/>
        <v>0</v>
      </c>
      <c r="S566" s="2">
        <f t="shared" si="511"/>
        <v>2593.5</v>
      </c>
      <c r="T566" s="2">
        <f t="shared" si="511"/>
        <v>0</v>
      </c>
      <c r="U566" s="2">
        <f t="shared" si="511"/>
        <v>4.2</v>
      </c>
      <c r="V566" s="2">
        <f t="shared" si="511"/>
        <v>0</v>
      </c>
      <c r="W566" s="2">
        <f t="shared" si="511"/>
        <v>0</v>
      </c>
      <c r="X566" s="2">
        <f t="shared" si="511"/>
        <v>1815.45</v>
      </c>
      <c r="Y566" s="2">
        <f t="shared" si="511"/>
        <v>259.35000000000002</v>
      </c>
      <c r="Z566" s="2">
        <f t="shared" si="511"/>
        <v>0</v>
      </c>
      <c r="AA566" s="2">
        <f t="shared" si="511"/>
        <v>0</v>
      </c>
      <c r="AB566" s="2">
        <f t="shared" si="511"/>
        <v>2666.4</v>
      </c>
      <c r="AC566" s="2">
        <f t="shared" si="511"/>
        <v>66</v>
      </c>
      <c r="AD566" s="2">
        <f t="shared" si="511"/>
        <v>6.9</v>
      </c>
      <c r="AE566" s="2">
        <f t="shared" si="511"/>
        <v>0</v>
      </c>
      <c r="AF566" s="2">
        <f t="shared" si="511"/>
        <v>2593.5</v>
      </c>
      <c r="AG566" s="2">
        <f t="shared" si="511"/>
        <v>0</v>
      </c>
      <c r="AH566" s="2">
        <f t="shared" si="511"/>
        <v>4.2</v>
      </c>
      <c r="AI566" s="2">
        <f t="shared" si="511"/>
        <v>0</v>
      </c>
      <c r="AJ566" s="2">
        <f t="shared" si="511"/>
        <v>0</v>
      </c>
      <c r="AK566" s="2">
        <f t="shared" si="511"/>
        <v>1815.45</v>
      </c>
      <c r="AL566" s="2">
        <f t="shared" si="511"/>
        <v>259.35000000000002</v>
      </c>
      <c r="AM566" s="2">
        <f t="shared" si="511"/>
        <v>0</v>
      </c>
      <c r="AN566" s="2">
        <f t="shared" si="511"/>
        <v>0</v>
      </c>
      <c r="AO566" s="2">
        <f t="shared" si="511"/>
        <v>0</v>
      </c>
      <c r="AP566" s="2">
        <f t="shared" si="511"/>
        <v>0</v>
      </c>
      <c r="AQ566" s="2">
        <f t="shared" si="511"/>
        <v>0</v>
      </c>
      <c r="AR566" s="2">
        <f t="shared" si="511"/>
        <v>4741.2</v>
      </c>
      <c r="AS566" s="2">
        <f t="shared" si="511"/>
        <v>0</v>
      </c>
      <c r="AT566" s="2">
        <f t="shared" si="511"/>
        <v>0</v>
      </c>
      <c r="AU566" s="2">
        <f t="shared" ref="AU566:BZ566" si="512">AU572</f>
        <v>4741.2</v>
      </c>
      <c r="AV566" s="2">
        <f t="shared" si="512"/>
        <v>66</v>
      </c>
      <c r="AW566" s="2">
        <f t="shared" si="512"/>
        <v>66</v>
      </c>
      <c r="AX566" s="2">
        <f t="shared" si="512"/>
        <v>0</v>
      </c>
      <c r="AY566" s="2">
        <f t="shared" si="512"/>
        <v>66</v>
      </c>
      <c r="AZ566" s="2">
        <f t="shared" si="512"/>
        <v>0</v>
      </c>
      <c r="BA566" s="2">
        <f t="shared" si="512"/>
        <v>0</v>
      </c>
      <c r="BB566" s="2">
        <f t="shared" si="512"/>
        <v>0</v>
      </c>
      <c r="BC566" s="2">
        <f t="shared" si="512"/>
        <v>0</v>
      </c>
      <c r="BD566" s="2">
        <f t="shared" si="512"/>
        <v>0</v>
      </c>
      <c r="BE566" s="2">
        <f t="shared" si="512"/>
        <v>0</v>
      </c>
      <c r="BF566" s="2">
        <f t="shared" si="512"/>
        <v>0</v>
      </c>
      <c r="BG566" s="2">
        <f t="shared" si="512"/>
        <v>0</v>
      </c>
      <c r="BH566" s="2">
        <f t="shared" si="512"/>
        <v>0</v>
      </c>
      <c r="BI566" s="2">
        <f t="shared" si="512"/>
        <v>0</v>
      </c>
      <c r="BJ566" s="2">
        <f t="shared" si="512"/>
        <v>0</v>
      </c>
      <c r="BK566" s="2">
        <f t="shared" si="512"/>
        <v>0</v>
      </c>
      <c r="BL566" s="2">
        <f t="shared" si="512"/>
        <v>0</v>
      </c>
      <c r="BM566" s="2">
        <f t="shared" si="512"/>
        <v>0</v>
      </c>
      <c r="BN566" s="2">
        <f t="shared" si="512"/>
        <v>0</v>
      </c>
      <c r="BO566" s="2">
        <f t="shared" si="512"/>
        <v>0</v>
      </c>
      <c r="BP566" s="2">
        <f t="shared" si="512"/>
        <v>0</v>
      </c>
      <c r="BQ566" s="2">
        <f t="shared" si="512"/>
        <v>0</v>
      </c>
      <c r="BR566" s="2">
        <f t="shared" si="512"/>
        <v>0</v>
      </c>
      <c r="BS566" s="2">
        <f t="shared" si="512"/>
        <v>0</v>
      </c>
      <c r="BT566" s="2">
        <f t="shared" si="512"/>
        <v>0</v>
      </c>
      <c r="BU566" s="2">
        <f t="shared" si="512"/>
        <v>0</v>
      </c>
      <c r="BV566" s="2">
        <f t="shared" si="512"/>
        <v>0</v>
      </c>
      <c r="BW566" s="2">
        <f t="shared" si="512"/>
        <v>0</v>
      </c>
      <c r="BX566" s="2">
        <f t="shared" si="512"/>
        <v>0</v>
      </c>
      <c r="BY566" s="2">
        <f t="shared" si="512"/>
        <v>0</v>
      </c>
      <c r="BZ566" s="2">
        <f t="shared" si="512"/>
        <v>0</v>
      </c>
      <c r="CA566" s="2">
        <f t="shared" ref="CA566:DF566" si="513">CA572</f>
        <v>4741.2</v>
      </c>
      <c r="CB566" s="2">
        <f t="shared" si="513"/>
        <v>0</v>
      </c>
      <c r="CC566" s="2">
        <f t="shared" si="513"/>
        <v>0</v>
      </c>
      <c r="CD566" s="2">
        <f t="shared" si="513"/>
        <v>4741.2</v>
      </c>
      <c r="CE566" s="2">
        <f t="shared" si="513"/>
        <v>66</v>
      </c>
      <c r="CF566" s="2">
        <f t="shared" si="513"/>
        <v>66</v>
      </c>
      <c r="CG566" s="2">
        <f t="shared" si="513"/>
        <v>0</v>
      </c>
      <c r="CH566" s="2">
        <f t="shared" si="513"/>
        <v>66</v>
      </c>
      <c r="CI566" s="2">
        <f t="shared" si="513"/>
        <v>0</v>
      </c>
      <c r="CJ566" s="2">
        <f t="shared" si="513"/>
        <v>0</v>
      </c>
      <c r="CK566" s="2">
        <f t="shared" si="513"/>
        <v>0</v>
      </c>
      <c r="CL566" s="2">
        <f t="shared" si="513"/>
        <v>0</v>
      </c>
      <c r="CM566" s="2">
        <f t="shared" si="513"/>
        <v>0</v>
      </c>
      <c r="CN566" s="2">
        <f t="shared" si="513"/>
        <v>0</v>
      </c>
      <c r="CO566" s="2">
        <f t="shared" si="513"/>
        <v>0</v>
      </c>
      <c r="CP566" s="2">
        <f t="shared" si="513"/>
        <v>0</v>
      </c>
      <c r="CQ566" s="2">
        <f t="shared" si="513"/>
        <v>0</v>
      </c>
      <c r="CR566" s="2">
        <f t="shared" si="513"/>
        <v>0</v>
      </c>
      <c r="CS566" s="2">
        <f t="shared" si="513"/>
        <v>0</v>
      </c>
      <c r="CT566" s="2">
        <f t="shared" si="513"/>
        <v>0</v>
      </c>
      <c r="CU566" s="2">
        <f t="shared" si="513"/>
        <v>0</v>
      </c>
      <c r="CV566" s="2">
        <f t="shared" si="513"/>
        <v>0</v>
      </c>
      <c r="CW566" s="2">
        <f t="shared" si="513"/>
        <v>0</v>
      </c>
      <c r="CX566" s="2">
        <f t="shared" si="513"/>
        <v>0</v>
      </c>
      <c r="CY566" s="2">
        <f t="shared" si="513"/>
        <v>0</v>
      </c>
      <c r="CZ566" s="2">
        <f t="shared" si="513"/>
        <v>0</v>
      </c>
      <c r="DA566" s="2">
        <f t="shared" si="513"/>
        <v>0</v>
      </c>
      <c r="DB566" s="2">
        <f t="shared" si="513"/>
        <v>0</v>
      </c>
      <c r="DC566" s="2">
        <f t="shared" si="513"/>
        <v>0</v>
      </c>
      <c r="DD566" s="2">
        <f t="shared" si="513"/>
        <v>0</v>
      </c>
      <c r="DE566" s="2">
        <f t="shared" si="513"/>
        <v>0</v>
      </c>
      <c r="DF566" s="2">
        <f t="shared" si="513"/>
        <v>0</v>
      </c>
      <c r="DG566" s="3">
        <f t="shared" ref="DG566:EL566" si="514">DG572</f>
        <v>0</v>
      </c>
      <c r="DH566" s="3">
        <f t="shared" si="514"/>
        <v>0</v>
      </c>
      <c r="DI566" s="3">
        <f t="shared" si="514"/>
        <v>0</v>
      </c>
      <c r="DJ566" s="3">
        <f t="shared" si="514"/>
        <v>0</v>
      </c>
      <c r="DK566" s="3">
        <f t="shared" si="514"/>
        <v>0</v>
      </c>
      <c r="DL566" s="3">
        <f t="shared" si="514"/>
        <v>0</v>
      </c>
      <c r="DM566" s="3">
        <f t="shared" si="514"/>
        <v>0</v>
      </c>
      <c r="DN566" s="3">
        <f t="shared" si="514"/>
        <v>0</v>
      </c>
      <c r="DO566" s="3">
        <f t="shared" si="514"/>
        <v>0</v>
      </c>
      <c r="DP566" s="3">
        <f t="shared" si="514"/>
        <v>0</v>
      </c>
      <c r="DQ566" s="3">
        <f t="shared" si="514"/>
        <v>0</v>
      </c>
      <c r="DR566" s="3">
        <f t="shared" si="514"/>
        <v>0</v>
      </c>
      <c r="DS566" s="3">
        <f t="shared" si="514"/>
        <v>0</v>
      </c>
      <c r="DT566" s="3">
        <f t="shared" si="514"/>
        <v>0</v>
      </c>
      <c r="DU566" s="3">
        <f t="shared" si="514"/>
        <v>0</v>
      </c>
      <c r="DV566" s="3">
        <f t="shared" si="514"/>
        <v>0</v>
      </c>
      <c r="DW566" s="3">
        <f t="shared" si="514"/>
        <v>0</v>
      </c>
      <c r="DX566" s="3">
        <f t="shared" si="514"/>
        <v>0</v>
      </c>
      <c r="DY566" s="3">
        <f t="shared" si="514"/>
        <v>0</v>
      </c>
      <c r="DZ566" s="3">
        <f t="shared" si="514"/>
        <v>0</v>
      </c>
      <c r="EA566" s="3">
        <f t="shared" si="514"/>
        <v>0</v>
      </c>
      <c r="EB566" s="3">
        <f t="shared" si="514"/>
        <v>0</v>
      </c>
      <c r="EC566" s="3">
        <f t="shared" si="514"/>
        <v>0</v>
      </c>
      <c r="ED566" s="3">
        <f t="shared" si="514"/>
        <v>0</v>
      </c>
      <c r="EE566" s="3">
        <f t="shared" si="514"/>
        <v>0</v>
      </c>
      <c r="EF566" s="3">
        <f t="shared" si="514"/>
        <v>0</v>
      </c>
      <c r="EG566" s="3">
        <f t="shared" si="514"/>
        <v>0</v>
      </c>
      <c r="EH566" s="3">
        <f t="shared" si="514"/>
        <v>0</v>
      </c>
      <c r="EI566" s="3">
        <f t="shared" si="514"/>
        <v>0</v>
      </c>
      <c r="EJ566" s="3">
        <f t="shared" si="514"/>
        <v>0</v>
      </c>
      <c r="EK566" s="3">
        <f t="shared" si="514"/>
        <v>0</v>
      </c>
      <c r="EL566" s="3">
        <f t="shared" si="514"/>
        <v>0</v>
      </c>
      <c r="EM566" s="3">
        <f t="shared" ref="EM566:FR566" si="515">EM572</f>
        <v>0</v>
      </c>
      <c r="EN566" s="3">
        <f t="shared" si="515"/>
        <v>0</v>
      </c>
      <c r="EO566" s="3">
        <f t="shared" si="515"/>
        <v>0</v>
      </c>
      <c r="EP566" s="3">
        <f t="shared" si="515"/>
        <v>0</v>
      </c>
      <c r="EQ566" s="3">
        <f t="shared" si="515"/>
        <v>0</v>
      </c>
      <c r="ER566" s="3">
        <f t="shared" si="515"/>
        <v>0</v>
      </c>
      <c r="ES566" s="3">
        <f t="shared" si="515"/>
        <v>0</v>
      </c>
      <c r="ET566" s="3">
        <f t="shared" si="515"/>
        <v>0</v>
      </c>
      <c r="EU566" s="3">
        <f t="shared" si="515"/>
        <v>0</v>
      </c>
      <c r="EV566" s="3">
        <f t="shared" si="515"/>
        <v>0</v>
      </c>
      <c r="EW566" s="3">
        <f t="shared" si="515"/>
        <v>0</v>
      </c>
      <c r="EX566" s="3">
        <f t="shared" si="515"/>
        <v>0</v>
      </c>
      <c r="EY566" s="3">
        <f t="shared" si="515"/>
        <v>0</v>
      </c>
      <c r="EZ566" s="3">
        <f t="shared" si="515"/>
        <v>0</v>
      </c>
      <c r="FA566" s="3">
        <f t="shared" si="515"/>
        <v>0</v>
      </c>
      <c r="FB566" s="3">
        <f t="shared" si="515"/>
        <v>0</v>
      </c>
      <c r="FC566" s="3">
        <f t="shared" si="515"/>
        <v>0</v>
      </c>
      <c r="FD566" s="3">
        <f t="shared" si="515"/>
        <v>0</v>
      </c>
      <c r="FE566" s="3">
        <f t="shared" si="515"/>
        <v>0</v>
      </c>
      <c r="FF566" s="3">
        <f t="shared" si="515"/>
        <v>0</v>
      </c>
      <c r="FG566" s="3">
        <f t="shared" si="515"/>
        <v>0</v>
      </c>
      <c r="FH566" s="3">
        <f t="shared" si="515"/>
        <v>0</v>
      </c>
      <c r="FI566" s="3">
        <f t="shared" si="515"/>
        <v>0</v>
      </c>
      <c r="FJ566" s="3">
        <f t="shared" si="515"/>
        <v>0</v>
      </c>
      <c r="FK566" s="3">
        <f t="shared" si="515"/>
        <v>0</v>
      </c>
      <c r="FL566" s="3">
        <f t="shared" si="515"/>
        <v>0</v>
      </c>
      <c r="FM566" s="3">
        <f t="shared" si="515"/>
        <v>0</v>
      </c>
      <c r="FN566" s="3">
        <f t="shared" si="515"/>
        <v>0</v>
      </c>
      <c r="FO566" s="3">
        <f t="shared" si="515"/>
        <v>0</v>
      </c>
      <c r="FP566" s="3">
        <f t="shared" si="515"/>
        <v>0</v>
      </c>
      <c r="FQ566" s="3">
        <f t="shared" si="515"/>
        <v>0</v>
      </c>
      <c r="FR566" s="3">
        <f t="shared" si="515"/>
        <v>0</v>
      </c>
      <c r="FS566" s="3">
        <f t="shared" ref="FS566:GX566" si="516">FS572</f>
        <v>0</v>
      </c>
      <c r="FT566" s="3">
        <f t="shared" si="516"/>
        <v>0</v>
      </c>
      <c r="FU566" s="3">
        <f t="shared" si="516"/>
        <v>0</v>
      </c>
      <c r="FV566" s="3">
        <f t="shared" si="516"/>
        <v>0</v>
      </c>
      <c r="FW566" s="3">
        <f t="shared" si="516"/>
        <v>0</v>
      </c>
      <c r="FX566" s="3">
        <f t="shared" si="516"/>
        <v>0</v>
      </c>
      <c r="FY566" s="3">
        <f t="shared" si="516"/>
        <v>0</v>
      </c>
      <c r="FZ566" s="3">
        <f t="shared" si="516"/>
        <v>0</v>
      </c>
      <c r="GA566" s="3">
        <f t="shared" si="516"/>
        <v>0</v>
      </c>
      <c r="GB566" s="3">
        <f t="shared" si="516"/>
        <v>0</v>
      </c>
      <c r="GC566" s="3">
        <f t="shared" si="516"/>
        <v>0</v>
      </c>
      <c r="GD566" s="3">
        <f t="shared" si="516"/>
        <v>0</v>
      </c>
      <c r="GE566" s="3">
        <f t="shared" si="516"/>
        <v>0</v>
      </c>
      <c r="GF566" s="3">
        <f t="shared" si="516"/>
        <v>0</v>
      </c>
      <c r="GG566" s="3">
        <f t="shared" si="516"/>
        <v>0</v>
      </c>
      <c r="GH566" s="3">
        <f t="shared" si="516"/>
        <v>0</v>
      </c>
      <c r="GI566" s="3">
        <f t="shared" si="516"/>
        <v>0</v>
      </c>
      <c r="GJ566" s="3">
        <f t="shared" si="516"/>
        <v>0</v>
      </c>
      <c r="GK566" s="3">
        <f t="shared" si="516"/>
        <v>0</v>
      </c>
      <c r="GL566" s="3">
        <f t="shared" si="516"/>
        <v>0</v>
      </c>
      <c r="GM566" s="3">
        <f t="shared" si="516"/>
        <v>0</v>
      </c>
      <c r="GN566" s="3">
        <f t="shared" si="516"/>
        <v>0</v>
      </c>
      <c r="GO566" s="3">
        <f t="shared" si="516"/>
        <v>0</v>
      </c>
      <c r="GP566" s="3">
        <f t="shared" si="516"/>
        <v>0</v>
      </c>
      <c r="GQ566" s="3">
        <f t="shared" si="516"/>
        <v>0</v>
      </c>
      <c r="GR566" s="3">
        <f t="shared" si="516"/>
        <v>0</v>
      </c>
      <c r="GS566" s="3">
        <f t="shared" si="516"/>
        <v>0</v>
      </c>
      <c r="GT566" s="3">
        <f t="shared" si="516"/>
        <v>0</v>
      </c>
      <c r="GU566" s="3">
        <f t="shared" si="516"/>
        <v>0</v>
      </c>
      <c r="GV566" s="3">
        <f t="shared" si="516"/>
        <v>0</v>
      </c>
      <c r="GW566" s="3">
        <f t="shared" si="516"/>
        <v>0</v>
      </c>
      <c r="GX566" s="3">
        <f t="shared" si="516"/>
        <v>0</v>
      </c>
    </row>
    <row r="568" spans="1:245" x14ac:dyDescent="0.2">
      <c r="A568">
        <v>17</v>
      </c>
      <c r="B568">
        <v>1</v>
      </c>
      <c r="D568">
        <f>ROW(EtalonRes!A319)</f>
        <v>319</v>
      </c>
      <c r="E568" t="s">
        <v>3</v>
      </c>
      <c r="F568" t="s">
        <v>153</v>
      </c>
      <c r="G568" t="s">
        <v>154</v>
      </c>
      <c r="H568" t="s">
        <v>36</v>
      </c>
      <c r="I568">
        <f>ROUND(3*10,9)</f>
        <v>30</v>
      </c>
      <c r="J568">
        <v>0</v>
      </c>
      <c r="K568">
        <f>ROUND(3*10,9)</f>
        <v>30</v>
      </c>
      <c r="O568">
        <f>ROUND(CP568,2)</f>
        <v>33860.1</v>
      </c>
      <c r="P568">
        <f>ROUND(CQ568*I568,2)</f>
        <v>9.3000000000000007</v>
      </c>
      <c r="Q568">
        <f>ROUND(CR568*I568,2)</f>
        <v>0</v>
      </c>
      <c r="R568">
        <f>ROUND(CS568*I568,2)</f>
        <v>0</v>
      </c>
      <c r="S568">
        <f>ROUND(CT568*I568,2)</f>
        <v>33850.800000000003</v>
      </c>
      <c r="T568">
        <f>ROUND(CU568*I568,2)</f>
        <v>0</v>
      </c>
      <c r="U568">
        <f>CV568*I568</f>
        <v>47.7</v>
      </c>
      <c r="V568">
        <f>CW568*I568</f>
        <v>0</v>
      </c>
      <c r="W568">
        <f>ROUND(CX568*I568,2)</f>
        <v>0</v>
      </c>
      <c r="X568">
        <f t="shared" ref="X568:Y570" si="517">ROUND(CY568,2)</f>
        <v>23695.56</v>
      </c>
      <c r="Y568">
        <f t="shared" si="517"/>
        <v>3385.08</v>
      </c>
      <c r="AA568">
        <v>-1</v>
      </c>
      <c r="AB568">
        <f>ROUND((AC568+AD568+AF568),6)</f>
        <v>1128.67</v>
      </c>
      <c r="AC568">
        <f>ROUND((ES568),6)</f>
        <v>0.31</v>
      </c>
      <c r="AD568">
        <f>ROUND((((ET568)-(EU568))+AE568),6)</f>
        <v>0</v>
      </c>
      <c r="AE568">
        <f>ROUND((EU568),6)</f>
        <v>0</v>
      </c>
      <c r="AF568">
        <f>ROUND((EV568),6)</f>
        <v>1128.3599999999999</v>
      </c>
      <c r="AG568">
        <f>ROUND((AP568),6)</f>
        <v>0</v>
      </c>
      <c r="AH568">
        <f>(EW568)</f>
        <v>1.59</v>
      </c>
      <c r="AI568">
        <f>(EX568)</f>
        <v>0</v>
      </c>
      <c r="AJ568">
        <f>(AS568)</f>
        <v>0</v>
      </c>
      <c r="AK568">
        <v>1128.67</v>
      </c>
      <c r="AL568">
        <v>0.31</v>
      </c>
      <c r="AM568">
        <v>0</v>
      </c>
      <c r="AN568">
        <v>0</v>
      </c>
      <c r="AO568">
        <v>1128.3599999999999</v>
      </c>
      <c r="AP568">
        <v>0</v>
      </c>
      <c r="AQ568">
        <v>1.59</v>
      </c>
      <c r="AR568">
        <v>0</v>
      </c>
      <c r="AS568">
        <v>0</v>
      </c>
      <c r="AT568">
        <v>70</v>
      </c>
      <c r="AU568">
        <v>10</v>
      </c>
      <c r="AV568">
        <v>1</v>
      </c>
      <c r="AW568">
        <v>1</v>
      </c>
      <c r="AZ568">
        <v>1</v>
      </c>
      <c r="BA568">
        <v>1</v>
      </c>
      <c r="BB568">
        <v>1</v>
      </c>
      <c r="BC568">
        <v>1</v>
      </c>
      <c r="BD568" t="s">
        <v>3</v>
      </c>
      <c r="BE568" t="s">
        <v>3</v>
      </c>
      <c r="BF568" t="s">
        <v>3</v>
      </c>
      <c r="BG568" t="s">
        <v>3</v>
      </c>
      <c r="BH568">
        <v>0</v>
      </c>
      <c r="BI568">
        <v>4</v>
      </c>
      <c r="BJ568" t="s">
        <v>155</v>
      </c>
      <c r="BM568">
        <v>0</v>
      </c>
      <c r="BN568">
        <v>0</v>
      </c>
      <c r="BO568" t="s">
        <v>3</v>
      </c>
      <c r="BP568">
        <v>0</v>
      </c>
      <c r="BQ568">
        <v>1</v>
      </c>
      <c r="BR568">
        <v>0</v>
      </c>
      <c r="BS568">
        <v>1</v>
      </c>
      <c r="BT568">
        <v>1</v>
      </c>
      <c r="BU568">
        <v>1</v>
      </c>
      <c r="BV568">
        <v>1</v>
      </c>
      <c r="BW568">
        <v>1</v>
      </c>
      <c r="BX568">
        <v>1</v>
      </c>
      <c r="BY568" t="s">
        <v>3</v>
      </c>
      <c r="BZ568">
        <v>70</v>
      </c>
      <c r="CA568">
        <v>10</v>
      </c>
      <c r="CB568" t="s">
        <v>3</v>
      </c>
      <c r="CE568">
        <v>0</v>
      </c>
      <c r="CF568">
        <v>0</v>
      </c>
      <c r="CG568">
        <v>0</v>
      </c>
      <c r="CM568">
        <v>0</v>
      </c>
      <c r="CN568" t="s">
        <v>3</v>
      </c>
      <c r="CO568">
        <v>0</v>
      </c>
      <c r="CP568">
        <f>(P568+Q568+S568)</f>
        <v>33860.100000000006</v>
      </c>
      <c r="CQ568">
        <f>(AC568*BC568*AW568)</f>
        <v>0.31</v>
      </c>
      <c r="CR568">
        <f>((((ET568)*BB568-(EU568)*BS568)+AE568*BS568)*AV568)</f>
        <v>0</v>
      </c>
      <c r="CS568">
        <f>(AE568*BS568*AV568)</f>
        <v>0</v>
      </c>
      <c r="CT568">
        <f>(AF568*BA568*AV568)</f>
        <v>1128.3599999999999</v>
      </c>
      <c r="CU568">
        <f>AG568</f>
        <v>0</v>
      </c>
      <c r="CV568">
        <f>(AH568*AV568)</f>
        <v>1.59</v>
      </c>
      <c r="CW568">
        <f t="shared" ref="CW568:CX570" si="518">AI568</f>
        <v>0</v>
      </c>
      <c r="CX568">
        <f t="shared" si="518"/>
        <v>0</v>
      </c>
      <c r="CY568">
        <f>((S568*BZ568)/100)</f>
        <v>23695.56</v>
      </c>
      <c r="CZ568">
        <f>((S568*CA568)/100)</f>
        <v>3385.08</v>
      </c>
      <c r="DC568" t="s">
        <v>3</v>
      </c>
      <c r="DD568" t="s">
        <v>3</v>
      </c>
      <c r="DE568" t="s">
        <v>3</v>
      </c>
      <c r="DF568" t="s">
        <v>3</v>
      </c>
      <c r="DG568" t="s">
        <v>3</v>
      </c>
      <c r="DH568" t="s">
        <v>3</v>
      </c>
      <c r="DI568" t="s">
        <v>3</v>
      </c>
      <c r="DJ568" t="s">
        <v>3</v>
      </c>
      <c r="DK568" t="s">
        <v>3</v>
      </c>
      <c r="DL568" t="s">
        <v>3</v>
      </c>
      <c r="DM568" t="s">
        <v>3</v>
      </c>
      <c r="DN568">
        <v>0</v>
      </c>
      <c r="DO568">
        <v>0</v>
      </c>
      <c r="DP568">
        <v>1</v>
      </c>
      <c r="DQ568">
        <v>1</v>
      </c>
      <c r="DU568">
        <v>16987630</v>
      </c>
      <c r="DV568" t="s">
        <v>36</v>
      </c>
      <c r="DW568" t="s">
        <v>36</v>
      </c>
      <c r="DX568">
        <v>1</v>
      </c>
      <c r="DZ568" t="s">
        <v>3</v>
      </c>
      <c r="EA568" t="s">
        <v>3</v>
      </c>
      <c r="EB568" t="s">
        <v>3</v>
      </c>
      <c r="EC568" t="s">
        <v>3</v>
      </c>
      <c r="EE568">
        <v>1441815344</v>
      </c>
      <c r="EF568">
        <v>1</v>
      </c>
      <c r="EG568" t="s">
        <v>21</v>
      </c>
      <c r="EH568">
        <v>0</v>
      </c>
      <c r="EI568" t="s">
        <v>3</v>
      </c>
      <c r="EJ568">
        <v>4</v>
      </c>
      <c r="EK568">
        <v>0</v>
      </c>
      <c r="EL568" t="s">
        <v>22</v>
      </c>
      <c r="EM568" t="s">
        <v>23</v>
      </c>
      <c r="EO568" t="s">
        <v>3</v>
      </c>
      <c r="EQ568">
        <v>1836032</v>
      </c>
      <c r="ER568">
        <v>1128.67</v>
      </c>
      <c r="ES568">
        <v>0.31</v>
      </c>
      <c r="ET568">
        <v>0</v>
      </c>
      <c r="EU568">
        <v>0</v>
      </c>
      <c r="EV568">
        <v>1128.3599999999999</v>
      </c>
      <c r="EW568">
        <v>1.59</v>
      </c>
      <c r="EX568">
        <v>0</v>
      </c>
      <c r="EY568">
        <v>0</v>
      </c>
      <c r="FQ568">
        <v>0</v>
      </c>
      <c r="FR568">
        <f>ROUND(IF(BI568=3,GM568,0),2)</f>
        <v>0</v>
      </c>
      <c r="FS568">
        <v>0</v>
      </c>
      <c r="FX568">
        <v>70</v>
      </c>
      <c r="FY568">
        <v>10</v>
      </c>
      <c r="GA568" t="s">
        <v>3</v>
      </c>
      <c r="GD568">
        <v>0</v>
      </c>
      <c r="GF568">
        <v>2029808212</v>
      </c>
      <c r="GG568">
        <v>2</v>
      </c>
      <c r="GH568">
        <v>1</v>
      </c>
      <c r="GI568">
        <v>-2</v>
      </c>
      <c r="GJ568">
        <v>0</v>
      </c>
      <c r="GK568">
        <f>ROUND(R568*(R12)/100,2)</f>
        <v>0</v>
      </c>
      <c r="GL568">
        <f>ROUND(IF(AND(BH568=3,BI568=3,FS568&lt;&gt;0),P568,0),2)</f>
        <v>0</v>
      </c>
      <c r="GM568">
        <f>ROUND(O568+X568+Y568+GK568,2)+GX568</f>
        <v>60940.74</v>
      </c>
      <c r="GN568">
        <f>IF(OR(BI568=0,BI568=1),GM568-GX568,0)</f>
        <v>0</v>
      </c>
      <c r="GO568">
        <f>IF(BI568=2,GM568-GX568,0)</f>
        <v>0</v>
      </c>
      <c r="GP568">
        <f>IF(BI568=4,GM568-GX568,0)</f>
        <v>60940.74</v>
      </c>
      <c r="GR568">
        <v>0</v>
      </c>
      <c r="GS568">
        <v>3</v>
      </c>
      <c r="GT568">
        <v>0</v>
      </c>
      <c r="GU568" t="s">
        <v>3</v>
      </c>
      <c r="GV568">
        <f>ROUND((GT568),6)</f>
        <v>0</v>
      </c>
      <c r="GW568">
        <v>1</v>
      </c>
      <c r="GX568">
        <f>ROUND(HC568*I568,2)</f>
        <v>0</v>
      </c>
      <c r="HA568">
        <v>0</v>
      </c>
      <c r="HB568">
        <v>0</v>
      </c>
      <c r="HC568">
        <f>GV568*GW568</f>
        <v>0</v>
      </c>
      <c r="HE568" t="s">
        <v>3</v>
      </c>
      <c r="HF568" t="s">
        <v>3</v>
      </c>
      <c r="HM568" t="s">
        <v>3</v>
      </c>
      <c r="HN568" t="s">
        <v>3</v>
      </c>
      <c r="HO568" t="s">
        <v>3</v>
      </c>
      <c r="HP568" t="s">
        <v>3</v>
      </c>
      <c r="HQ568" t="s">
        <v>3</v>
      </c>
      <c r="IK568">
        <v>0</v>
      </c>
    </row>
    <row r="569" spans="1:245" x14ac:dyDescent="0.2">
      <c r="A569">
        <v>17</v>
      </c>
      <c r="B569">
        <v>1</v>
      </c>
      <c r="D569">
        <f>ROW(EtalonRes!A322)</f>
        <v>322</v>
      </c>
      <c r="E569" t="s">
        <v>370</v>
      </c>
      <c r="F569" t="s">
        <v>157</v>
      </c>
      <c r="G569" t="s">
        <v>158</v>
      </c>
      <c r="H569" t="s">
        <v>36</v>
      </c>
      <c r="I569">
        <f>ROUND(3*10,9)</f>
        <v>30</v>
      </c>
      <c r="J569">
        <v>0</v>
      </c>
      <c r="K569">
        <f>ROUND(3*10,9)</f>
        <v>30</v>
      </c>
      <c r="O569">
        <f>ROUND(CP569,2)</f>
        <v>2666.4</v>
      </c>
      <c r="P569">
        <f>ROUND(CQ569*I569,2)</f>
        <v>66</v>
      </c>
      <c r="Q569">
        <f>ROUND(CR569*I569,2)</f>
        <v>6.9</v>
      </c>
      <c r="R569">
        <f>ROUND(CS569*I569,2)</f>
        <v>0</v>
      </c>
      <c r="S569">
        <f>ROUND(CT569*I569,2)</f>
        <v>2593.5</v>
      </c>
      <c r="T569">
        <f>ROUND(CU569*I569,2)</f>
        <v>0</v>
      </c>
      <c r="U569">
        <f>CV569*I569</f>
        <v>4.2</v>
      </c>
      <c r="V569">
        <f>CW569*I569</f>
        <v>0</v>
      </c>
      <c r="W569">
        <f>ROUND(CX569*I569,2)</f>
        <v>0</v>
      </c>
      <c r="X569">
        <f t="shared" si="517"/>
        <v>1815.45</v>
      </c>
      <c r="Y569">
        <f t="shared" si="517"/>
        <v>259.35000000000002</v>
      </c>
      <c r="AA569">
        <v>1471718271</v>
      </c>
      <c r="AB569">
        <f>ROUND((AC569+AD569+AF569),6)</f>
        <v>88.88</v>
      </c>
      <c r="AC569">
        <f>ROUND((ES569),6)</f>
        <v>2.2000000000000002</v>
      </c>
      <c r="AD569">
        <f>ROUND((((ET569)-(EU569))+AE569),6)</f>
        <v>0.23</v>
      </c>
      <c r="AE569">
        <f>ROUND((EU569),6)</f>
        <v>0</v>
      </c>
      <c r="AF569">
        <f>ROUND((EV569),6)</f>
        <v>86.45</v>
      </c>
      <c r="AG569">
        <f>ROUND((AP569),6)</f>
        <v>0</v>
      </c>
      <c r="AH569">
        <f>(EW569)</f>
        <v>0.14000000000000001</v>
      </c>
      <c r="AI569">
        <f>(EX569)</f>
        <v>0</v>
      </c>
      <c r="AJ569">
        <f>(AS569)</f>
        <v>0</v>
      </c>
      <c r="AK569">
        <v>88.88</v>
      </c>
      <c r="AL569">
        <v>2.2000000000000002</v>
      </c>
      <c r="AM569">
        <v>0.23</v>
      </c>
      <c r="AN569">
        <v>0</v>
      </c>
      <c r="AO569">
        <v>86.45</v>
      </c>
      <c r="AP569">
        <v>0</v>
      </c>
      <c r="AQ569">
        <v>0.14000000000000001</v>
      </c>
      <c r="AR569">
        <v>0</v>
      </c>
      <c r="AS569">
        <v>0</v>
      </c>
      <c r="AT569">
        <v>70</v>
      </c>
      <c r="AU569">
        <v>10</v>
      </c>
      <c r="AV569">
        <v>1</v>
      </c>
      <c r="AW569">
        <v>1</v>
      </c>
      <c r="AZ569">
        <v>1</v>
      </c>
      <c r="BA569">
        <v>1</v>
      </c>
      <c r="BB569">
        <v>1</v>
      </c>
      <c r="BC569">
        <v>1</v>
      </c>
      <c r="BD569" t="s">
        <v>3</v>
      </c>
      <c r="BE569" t="s">
        <v>3</v>
      </c>
      <c r="BF569" t="s">
        <v>3</v>
      </c>
      <c r="BG569" t="s">
        <v>3</v>
      </c>
      <c r="BH569">
        <v>0</v>
      </c>
      <c r="BI569">
        <v>4</v>
      </c>
      <c r="BJ569" t="s">
        <v>159</v>
      </c>
      <c r="BM569">
        <v>0</v>
      </c>
      <c r="BN569">
        <v>0</v>
      </c>
      <c r="BO569" t="s">
        <v>3</v>
      </c>
      <c r="BP569">
        <v>0</v>
      </c>
      <c r="BQ569">
        <v>1</v>
      </c>
      <c r="BR569">
        <v>0</v>
      </c>
      <c r="BS569">
        <v>1</v>
      </c>
      <c r="BT569">
        <v>1</v>
      </c>
      <c r="BU569">
        <v>1</v>
      </c>
      <c r="BV569">
        <v>1</v>
      </c>
      <c r="BW569">
        <v>1</v>
      </c>
      <c r="BX569">
        <v>1</v>
      </c>
      <c r="BY569" t="s">
        <v>3</v>
      </c>
      <c r="BZ569">
        <v>70</v>
      </c>
      <c r="CA569">
        <v>10</v>
      </c>
      <c r="CB569" t="s">
        <v>3</v>
      </c>
      <c r="CE569">
        <v>0</v>
      </c>
      <c r="CF569">
        <v>0</v>
      </c>
      <c r="CG569">
        <v>0</v>
      </c>
      <c r="CM569">
        <v>0</v>
      </c>
      <c r="CN569" t="s">
        <v>3</v>
      </c>
      <c r="CO569">
        <v>0</v>
      </c>
      <c r="CP569">
        <f>(P569+Q569+S569)</f>
        <v>2666.4</v>
      </c>
      <c r="CQ569">
        <f>(AC569*BC569*AW569)</f>
        <v>2.2000000000000002</v>
      </c>
      <c r="CR569">
        <f>((((ET569)*BB569-(EU569)*BS569)+AE569*BS569)*AV569)</f>
        <v>0.23</v>
      </c>
      <c r="CS569">
        <f>(AE569*BS569*AV569)</f>
        <v>0</v>
      </c>
      <c r="CT569">
        <f>(AF569*BA569*AV569)</f>
        <v>86.45</v>
      </c>
      <c r="CU569">
        <f>AG569</f>
        <v>0</v>
      </c>
      <c r="CV569">
        <f>(AH569*AV569)</f>
        <v>0.14000000000000001</v>
      </c>
      <c r="CW569">
        <f t="shared" si="518"/>
        <v>0</v>
      </c>
      <c r="CX569">
        <f t="shared" si="518"/>
        <v>0</v>
      </c>
      <c r="CY569">
        <f>((S569*BZ569)/100)</f>
        <v>1815.45</v>
      </c>
      <c r="CZ569">
        <f>((S569*CA569)/100)</f>
        <v>259.35000000000002</v>
      </c>
      <c r="DC569" t="s">
        <v>3</v>
      </c>
      <c r="DD569" t="s">
        <v>3</v>
      </c>
      <c r="DE569" t="s">
        <v>3</v>
      </c>
      <c r="DF569" t="s">
        <v>3</v>
      </c>
      <c r="DG569" t="s">
        <v>3</v>
      </c>
      <c r="DH569" t="s">
        <v>3</v>
      </c>
      <c r="DI569" t="s">
        <v>3</v>
      </c>
      <c r="DJ569" t="s">
        <v>3</v>
      </c>
      <c r="DK569" t="s">
        <v>3</v>
      </c>
      <c r="DL569" t="s">
        <v>3</v>
      </c>
      <c r="DM569" t="s">
        <v>3</v>
      </c>
      <c r="DN569">
        <v>0</v>
      </c>
      <c r="DO569">
        <v>0</v>
      </c>
      <c r="DP569">
        <v>1</v>
      </c>
      <c r="DQ569">
        <v>1</v>
      </c>
      <c r="DU569">
        <v>16987630</v>
      </c>
      <c r="DV569" t="s">
        <v>36</v>
      </c>
      <c r="DW569" t="s">
        <v>36</v>
      </c>
      <c r="DX569">
        <v>1</v>
      </c>
      <c r="DZ569" t="s">
        <v>3</v>
      </c>
      <c r="EA569" t="s">
        <v>3</v>
      </c>
      <c r="EB569" t="s">
        <v>3</v>
      </c>
      <c r="EC569" t="s">
        <v>3</v>
      </c>
      <c r="EE569">
        <v>1441815344</v>
      </c>
      <c r="EF569">
        <v>1</v>
      </c>
      <c r="EG569" t="s">
        <v>21</v>
      </c>
      <c r="EH569">
        <v>0</v>
      </c>
      <c r="EI569" t="s">
        <v>3</v>
      </c>
      <c r="EJ569">
        <v>4</v>
      </c>
      <c r="EK569">
        <v>0</v>
      </c>
      <c r="EL569" t="s">
        <v>22</v>
      </c>
      <c r="EM569" t="s">
        <v>23</v>
      </c>
      <c r="EO569" t="s">
        <v>3</v>
      </c>
      <c r="EQ569">
        <v>0</v>
      </c>
      <c r="ER569">
        <v>88.88</v>
      </c>
      <c r="ES569">
        <v>2.2000000000000002</v>
      </c>
      <c r="ET569">
        <v>0.23</v>
      </c>
      <c r="EU569">
        <v>0</v>
      </c>
      <c r="EV569">
        <v>86.45</v>
      </c>
      <c r="EW569">
        <v>0.14000000000000001</v>
      </c>
      <c r="EX569">
        <v>0</v>
      </c>
      <c r="EY569">
        <v>0</v>
      </c>
      <c r="FQ569">
        <v>0</v>
      </c>
      <c r="FR569">
        <f>ROUND(IF(BI569=3,GM569,0),2)</f>
        <v>0</v>
      </c>
      <c r="FS569">
        <v>0</v>
      </c>
      <c r="FX569">
        <v>70</v>
      </c>
      <c r="FY569">
        <v>10</v>
      </c>
      <c r="GA569" t="s">
        <v>3</v>
      </c>
      <c r="GD569">
        <v>0</v>
      </c>
      <c r="GF569">
        <v>-129403832</v>
      </c>
      <c r="GG569">
        <v>2</v>
      </c>
      <c r="GH569">
        <v>1</v>
      </c>
      <c r="GI569">
        <v>-2</v>
      </c>
      <c r="GJ569">
        <v>0</v>
      </c>
      <c r="GK569">
        <f>ROUND(R569*(R12)/100,2)</f>
        <v>0</v>
      </c>
      <c r="GL569">
        <f>ROUND(IF(AND(BH569=3,BI569=3,FS569&lt;&gt;0),P569,0),2)</f>
        <v>0</v>
      </c>
      <c r="GM569">
        <f>ROUND(O569+X569+Y569+GK569,2)+GX569</f>
        <v>4741.2</v>
      </c>
      <c r="GN569">
        <f>IF(OR(BI569=0,BI569=1),GM569-GX569,0)</f>
        <v>0</v>
      </c>
      <c r="GO569">
        <f>IF(BI569=2,GM569-GX569,0)</f>
        <v>0</v>
      </c>
      <c r="GP569">
        <f>IF(BI569=4,GM569-GX569,0)</f>
        <v>4741.2</v>
      </c>
      <c r="GR569">
        <v>0</v>
      </c>
      <c r="GS569">
        <v>3</v>
      </c>
      <c r="GT569">
        <v>0</v>
      </c>
      <c r="GU569" t="s">
        <v>3</v>
      </c>
      <c r="GV569">
        <f>ROUND((GT569),6)</f>
        <v>0</v>
      </c>
      <c r="GW569">
        <v>1</v>
      </c>
      <c r="GX569">
        <f>ROUND(HC569*I569,2)</f>
        <v>0</v>
      </c>
      <c r="HA569">
        <v>0</v>
      </c>
      <c r="HB569">
        <v>0</v>
      </c>
      <c r="HC569">
        <f>GV569*GW569</f>
        <v>0</v>
      </c>
      <c r="HE569" t="s">
        <v>3</v>
      </c>
      <c r="HF569" t="s">
        <v>3</v>
      </c>
      <c r="HM569" t="s">
        <v>3</v>
      </c>
      <c r="HN569" t="s">
        <v>3</v>
      </c>
      <c r="HO569" t="s">
        <v>3</v>
      </c>
      <c r="HP569" t="s">
        <v>3</v>
      </c>
      <c r="HQ569" t="s">
        <v>3</v>
      </c>
      <c r="IK569">
        <v>0</v>
      </c>
    </row>
    <row r="570" spans="1:245" x14ac:dyDescent="0.2">
      <c r="A570">
        <v>17</v>
      </c>
      <c r="B570">
        <v>1</v>
      </c>
      <c r="D570">
        <f>ROW(EtalonRes!A323)</f>
        <v>323</v>
      </c>
      <c r="E570" t="s">
        <v>3</v>
      </c>
      <c r="F570" t="s">
        <v>160</v>
      </c>
      <c r="G570" t="s">
        <v>161</v>
      </c>
      <c r="H570" t="s">
        <v>31</v>
      </c>
      <c r="I570">
        <f>ROUND(3*10/10,9)</f>
        <v>3</v>
      </c>
      <c r="J570">
        <v>0</v>
      </c>
      <c r="K570">
        <f>ROUND(3*10/10,9)</f>
        <v>3</v>
      </c>
      <c r="O570">
        <f>ROUND(CP570,2)</f>
        <v>1870.29</v>
      </c>
      <c r="P570">
        <f>ROUND(CQ570*I570,2)</f>
        <v>0</v>
      </c>
      <c r="Q570">
        <f>ROUND(CR570*I570,2)</f>
        <v>0</v>
      </c>
      <c r="R570">
        <f>ROUND(CS570*I570,2)</f>
        <v>0</v>
      </c>
      <c r="S570">
        <f>ROUND(CT570*I570,2)</f>
        <v>1870.29</v>
      </c>
      <c r="T570">
        <f>ROUND(CU570*I570,2)</f>
        <v>0</v>
      </c>
      <c r="U570">
        <f>CV570*I570</f>
        <v>3.69</v>
      </c>
      <c r="V570">
        <f>CW570*I570</f>
        <v>0</v>
      </c>
      <c r="W570">
        <f>ROUND(CX570*I570,2)</f>
        <v>0</v>
      </c>
      <c r="X570">
        <f t="shared" si="517"/>
        <v>1309.2</v>
      </c>
      <c r="Y570">
        <f t="shared" si="517"/>
        <v>187.03</v>
      </c>
      <c r="AA570">
        <v>-1</v>
      </c>
      <c r="AB570">
        <f>ROUND((AC570+AD570+AF570),6)</f>
        <v>623.42999999999995</v>
      </c>
      <c r="AC570">
        <f>ROUND(((ES570*3)),6)</f>
        <v>0</v>
      </c>
      <c r="AD570">
        <f>ROUND(((((ET570*3))-((EU570*3)))+AE570),6)</f>
        <v>0</v>
      </c>
      <c r="AE570">
        <f>ROUND(((EU570*3)),6)</f>
        <v>0</v>
      </c>
      <c r="AF570">
        <f>ROUND(((EV570*3)),6)</f>
        <v>623.42999999999995</v>
      </c>
      <c r="AG570">
        <f>ROUND((AP570),6)</f>
        <v>0</v>
      </c>
      <c r="AH570">
        <f>((EW570*3))</f>
        <v>1.23</v>
      </c>
      <c r="AI570">
        <f>((EX570*3))</f>
        <v>0</v>
      </c>
      <c r="AJ570">
        <f>(AS570)</f>
        <v>0</v>
      </c>
      <c r="AK570">
        <v>207.81</v>
      </c>
      <c r="AL570">
        <v>0</v>
      </c>
      <c r="AM570">
        <v>0</v>
      </c>
      <c r="AN570">
        <v>0</v>
      </c>
      <c r="AO570">
        <v>207.81</v>
      </c>
      <c r="AP570">
        <v>0</v>
      </c>
      <c r="AQ570">
        <v>0.41</v>
      </c>
      <c r="AR570">
        <v>0</v>
      </c>
      <c r="AS570">
        <v>0</v>
      </c>
      <c r="AT570">
        <v>70</v>
      </c>
      <c r="AU570">
        <v>10</v>
      </c>
      <c r="AV570">
        <v>1</v>
      </c>
      <c r="AW570">
        <v>1</v>
      </c>
      <c r="AZ570">
        <v>1</v>
      </c>
      <c r="BA570">
        <v>1</v>
      </c>
      <c r="BB570">
        <v>1</v>
      </c>
      <c r="BC570">
        <v>1</v>
      </c>
      <c r="BD570" t="s">
        <v>3</v>
      </c>
      <c r="BE570" t="s">
        <v>3</v>
      </c>
      <c r="BF570" t="s">
        <v>3</v>
      </c>
      <c r="BG570" t="s">
        <v>3</v>
      </c>
      <c r="BH570">
        <v>0</v>
      </c>
      <c r="BI570">
        <v>4</v>
      </c>
      <c r="BJ570" t="s">
        <v>162</v>
      </c>
      <c r="BM570">
        <v>0</v>
      </c>
      <c r="BN570">
        <v>0</v>
      </c>
      <c r="BO570" t="s">
        <v>3</v>
      </c>
      <c r="BP570">
        <v>0</v>
      </c>
      <c r="BQ570">
        <v>1</v>
      </c>
      <c r="BR570">
        <v>0</v>
      </c>
      <c r="BS570">
        <v>1</v>
      </c>
      <c r="BT570">
        <v>1</v>
      </c>
      <c r="BU570">
        <v>1</v>
      </c>
      <c r="BV570">
        <v>1</v>
      </c>
      <c r="BW570">
        <v>1</v>
      </c>
      <c r="BX570">
        <v>1</v>
      </c>
      <c r="BY570" t="s">
        <v>3</v>
      </c>
      <c r="BZ570">
        <v>70</v>
      </c>
      <c r="CA570">
        <v>10</v>
      </c>
      <c r="CB570" t="s">
        <v>3</v>
      </c>
      <c r="CE570">
        <v>0</v>
      </c>
      <c r="CF570">
        <v>0</v>
      </c>
      <c r="CG570">
        <v>0</v>
      </c>
      <c r="CM570">
        <v>0</v>
      </c>
      <c r="CN570" t="s">
        <v>3</v>
      </c>
      <c r="CO570">
        <v>0</v>
      </c>
      <c r="CP570">
        <f>(P570+Q570+S570)</f>
        <v>1870.29</v>
      </c>
      <c r="CQ570">
        <f>(AC570*BC570*AW570)</f>
        <v>0</v>
      </c>
      <c r="CR570">
        <f>(((((ET570*3))*BB570-((EU570*3))*BS570)+AE570*BS570)*AV570)</f>
        <v>0</v>
      </c>
      <c r="CS570">
        <f>(AE570*BS570*AV570)</f>
        <v>0</v>
      </c>
      <c r="CT570">
        <f>(AF570*BA570*AV570)</f>
        <v>623.42999999999995</v>
      </c>
      <c r="CU570">
        <f>AG570</f>
        <v>0</v>
      </c>
      <c r="CV570">
        <f>(AH570*AV570)</f>
        <v>1.23</v>
      </c>
      <c r="CW570">
        <f t="shared" si="518"/>
        <v>0</v>
      </c>
      <c r="CX570">
        <f t="shared" si="518"/>
        <v>0</v>
      </c>
      <c r="CY570">
        <f>((S570*BZ570)/100)</f>
        <v>1309.203</v>
      </c>
      <c r="CZ570">
        <f>((S570*CA570)/100)</f>
        <v>187.02900000000002</v>
      </c>
      <c r="DC570" t="s">
        <v>3</v>
      </c>
      <c r="DD570" t="s">
        <v>163</v>
      </c>
      <c r="DE570" t="s">
        <v>163</v>
      </c>
      <c r="DF570" t="s">
        <v>163</v>
      </c>
      <c r="DG570" t="s">
        <v>163</v>
      </c>
      <c r="DH570" t="s">
        <v>3</v>
      </c>
      <c r="DI570" t="s">
        <v>163</v>
      </c>
      <c r="DJ570" t="s">
        <v>163</v>
      </c>
      <c r="DK570" t="s">
        <v>3</v>
      </c>
      <c r="DL570" t="s">
        <v>3</v>
      </c>
      <c r="DM570" t="s">
        <v>3</v>
      </c>
      <c r="DN570">
        <v>0</v>
      </c>
      <c r="DO570">
        <v>0</v>
      </c>
      <c r="DP570">
        <v>1</v>
      </c>
      <c r="DQ570">
        <v>1</v>
      </c>
      <c r="DU570">
        <v>16987630</v>
      </c>
      <c r="DV570" t="s">
        <v>31</v>
      </c>
      <c r="DW570" t="s">
        <v>31</v>
      </c>
      <c r="DX570">
        <v>10</v>
      </c>
      <c r="DZ570" t="s">
        <v>3</v>
      </c>
      <c r="EA570" t="s">
        <v>3</v>
      </c>
      <c r="EB570" t="s">
        <v>3</v>
      </c>
      <c r="EC570" t="s">
        <v>3</v>
      </c>
      <c r="EE570">
        <v>1441815344</v>
      </c>
      <c r="EF570">
        <v>1</v>
      </c>
      <c r="EG570" t="s">
        <v>21</v>
      </c>
      <c r="EH570">
        <v>0</v>
      </c>
      <c r="EI570" t="s">
        <v>3</v>
      </c>
      <c r="EJ570">
        <v>4</v>
      </c>
      <c r="EK570">
        <v>0</v>
      </c>
      <c r="EL570" t="s">
        <v>22</v>
      </c>
      <c r="EM570" t="s">
        <v>23</v>
      </c>
      <c r="EO570" t="s">
        <v>3</v>
      </c>
      <c r="EQ570">
        <v>1024</v>
      </c>
      <c r="ER570">
        <v>207.81</v>
      </c>
      <c r="ES570">
        <v>0</v>
      </c>
      <c r="ET570">
        <v>0</v>
      </c>
      <c r="EU570">
        <v>0</v>
      </c>
      <c r="EV570">
        <v>207.81</v>
      </c>
      <c r="EW570">
        <v>0.41</v>
      </c>
      <c r="EX570">
        <v>0</v>
      </c>
      <c r="EY570">
        <v>0</v>
      </c>
      <c r="FQ570">
        <v>0</v>
      </c>
      <c r="FR570">
        <f>ROUND(IF(BI570=3,GM570,0),2)</f>
        <v>0</v>
      </c>
      <c r="FS570">
        <v>0</v>
      </c>
      <c r="FX570">
        <v>70</v>
      </c>
      <c r="FY570">
        <v>10</v>
      </c>
      <c r="GA570" t="s">
        <v>3</v>
      </c>
      <c r="GD570">
        <v>0</v>
      </c>
      <c r="GF570">
        <v>1497006217</v>
      </c>
      <c r="GG570">
        <v>2</v>
      </c>
      <c r="GH570">
        <v>1</v>
      </c>
      <c r="GI570">
        <v>-2</v>
      </c>
      <c r="GJ570">
        <v>0</v>
      </c>
      <c r="GK570">
        <f>ROUND(R570*(R12)/100,2)</f>
        <v>0</v>
      </c>
      <c r="GL570">
        <f>ROUND(IF(AND(BH570=3,BI570=3,FS570&lt;&gt;0),P570,0),2)</f>
        <v>0</v>
      </c>
      <c r="GM570">
        <f>ROUND(O570+X570+Y570+GK570,2)+GX570</f>
        <v>3366.52</v>
      </c>
      <c r="GN570">
        <f>IF(OR(BI570=0,BI570=1),GM570-GX570,0)</f>
        <v>0</v>
      </c>
      <c r="GO570">
        <f>IF(BI570=2,GM570-GX570,0)</f>
        <v>0</v>
      </c>
      <c r="GP570">
        <f>IF(BI570=4,GM570-GX570,0)</f>
        <v>3366.52</v>
      </c>
      <c r="GR570">
        <v>0</v>
      </c>
      <c r="GS570">
        <v>3</v>
      </c>
      <c r="GT570">
        <v>0</v>
      </c>
      <c r="GU570" t="s">
        <v>3</v>
      </c>
      <c r="GV570">
        <f>ROUND((GT570),6)</f>
        <v>0</v>
      </c>
      <c r="GW570">
        <v>1</v>
      </c>
      <c r="GX570">
        <f>ROUND(HC570*I570,2)</f>
        <v>0</v>
      </c>
      <c r="HA570">
        <v>0</v>
      </c>
      <c r="HB570">
        <v>0</v>
      </c>
      <c r="HC570">
        <f>GV570*GW570</f>
        <v>0</v>
      </c>
      <c r="HE570" t="s">
        <v>3</v>
      </c>
      <c r="HF570" t="s">
        <v>3</v>
      </c>
      <c r="HM570" t="s">
        <v>3</v>
      </c>
      <c r="HN570" t="s">
        <v>3</v>
      </c>
      <c r="HO570" t="s">
        <v>3</v>
      </c>
      <c r="HP570" t="s">
        <v>3</v>
      </c>
      <c r="HQ570" t="s">
        <v>3</v>
      </c>
      <c r="IK570">
        <v>0</v>
      </c>
    </row>
    <row r="572" spans="1:245" x14ac:dyDescent="0.2">
      <c r="A572" s="2">
        <v>51</v>
      </c>
      <c r="B572" s="2">
        <f>B564</f>
        <v>1</v>
      </c>
      <c r="C572" s="2">
        <f>A564</f>
        <v>5</v>
      </c>
      <c r="D572" s="2">
        <f>ROW(A564)</f>
        <v>564</v>
      </c>
      <c r="E572" s="2"/>
      <c r="F572" s="2" t="str">
        <f>IF(F564&lt;&gt;"",F564,"")</f>
        <v>Новый подраздел</v>
      </c>
      <c r="G572" s="2" t="str">
        <f>IF(G564&lt;&gt;"",G564,"")</f>
        <v>Отопление</v>
      </c>
      <c r="H572" s="2">
        <v>0</v>
      </c>
      <c r="I572" s="2"/>
      <c r="J572" s="2"/>
      <c r="K572" s="2"/>
      <c r="L572" s="2"/>
      <c r="M572" s="2"/>
      <c r="N572" s="2"/>
      <c r="O572" s="2">
        <f t="shared" ref="O572:T572" si="519">ROUND(AB572,2)</f>
        <v>2666.4</v>
      </c>
      <c r="P572" s="2">
        <f t="shared" si="519"/>
        <v>66</v>
      </c>
      <c r="Q572" s="2">
        <f t="shared" si="519"/>
        <v>6.9</v>
      </c>
      <c r="R572" s="2">
        <f t="shared" si="519"/>
        <v>0</v>
      </c>
      <c r="S572" s="2">
        <f t="shared" si="519"/>
        <v>2593.5</v>
      </c>
      <c r="T572" s="2">
        <f t="shared" si="519"/>
        <v>0</v>
      </c>
      <c r="U572" s="2">
        <f>AH572</f>
        <v>4.2</v>
      </c>
      <c r="V572" s="2">
        <f>AI572</f>
        <v>0</v>
      </c>
      <c r="W572" s="2">
        <f>ROUND(AJ572,2)</f>
        <v>0</v>
      </c>
      <c r="X572" s="2">
        <f>ROUND(AK572,2)</f>
        <v>1815.45</v>
      </c>
      <c r="Y572" s="2">
        <f>ROUND(AL572,2)</f>
        <v>259.35000000000002</v>
      </c>
      <c r="Z572" s="2"/>
      <c r="AA572" s="2"/>
      <c r="AB572" s="2">
        <f>ROUND(SUMIF(AA568:AA570,"=1471718271",O568:O570),2)</f>
        <v>2666.4</v>
      </c>
      <c r="AC572" s="2">
        <f>ROUND(SUMIF(AA568:AA570,"=1471718271",P568:P570),2)</f>
        <v>66</v>
      </c>
      <c r="AD572" s="2">
        <f>ROUND(SUMIF(AA568:AA570,"=1471718271",Q568:Q570),2)</f>
        <v>6.9</v>
      </c>
      <c r="AE572" s="2">
        <f>ROUND(SUMIF(AA568:AA570,"=1471718271",R568:R570),2)</f>
        <v>0</v>
      </c>
      <c r="AF572" s="2">
        <f>ROUND(SUMIF(AA568:AA570,"=1471718271",S568:S570),2)</f>
        <v>2593.5</v>
      </c>
      <c r="AG572" s="2">
        <f>ROUND(SUMIF(AA568:AA570,"=1471718271",T568:T570),2)</f>
        <v>0</v>
      </c>
      <c r="AH572" s="2">
        <f>SUMIF(AA568:AA570,"=1471718271",U568:U570)</f>
        <v>4.2</v>
      </c>
      <c r="AI572" s="2">
        <f>SUMIF(AA568:AA570,"=1471718271",V568:V570)</f>
        <v>0</v>
      </c>
      <c r="AJ572" s="2">
        <f>ROUND(SUMIF(AA568:AA570,"=1471718271",W568:W570),2)</f>
        <v>0</v>
      </c>
      <c r="AK572" s="2">
        <f>ROUND(SUMIF(AA568:AA570,"=1471718271",X568:X570),2)</f>
        <v>1815.45</v>
      </c>
      <c r="AL572" s="2">
        <f>ROUND(SUMIF(AA568:AA570,"=1471718271",Y568:Y570),2)</f>
        <v>259.35000000000002</v>
      </c>
      <c r="AM572" s="2"/>
      <c r="AN572" s="2"/>
      <c r="AO572" s="2">
        <f t="shared" ref="AO572:BD572" si="520">ROUND(BX572,2)</f>
        <v>0</v>
      </c>
      <c r="AP572" s="2">
        <f t="shared" si="520"/>
        <v>0</v>
      </c>
      <c r="AQ572" s="2">
        <f t="shared" si="520"/>
        <v>0</v>
      </c>
      <c r="AR572" s="2">
        <f t="shared" si="520"/>
        <v>4741.2</v>
      </c>
      <c r="AS572" s="2">
        <f t="shared" si="520"/>
        <v>0</v>
      </c>
      <c r="AT572" s="2">
        <f t="shared" si="520"/>
        <v>0</v>
      </c>
      <c r="AU572" s="2">
        <f t="shared" si="520"/>
        <v>4741.2</v>
      </c>
      <c r="AV572" s="2">
        <f t="shared" si="520"/>
        <v>66</v>
      </c>
      <c r="AW572" s="2">
        <f t="shared" si="520"/>
        <v>66</v>
      </c>
      <c r="AX572" s="2">
        <f t="shared" si="520"/>
        <v>0</v>
      </c>
      <c r="AY572" s="2">
        <f t="shared" si="520"/>
        <v>66</v>
      </c>
      <c r="AZ572" s="2">
        <f t="shared" si="520"/>
        <v>0</v>
      </c>
      <c r="BA572" s="2">
        <f t="shared" si="520"/>
        <v>0</v>
      </c>
      <c r="BB572" s="2">
        <f t="shared" si="520"/>
        <v>0</v>
      </c>
      <c r="BC572" s="2">
        <f t="shared" si="520"/>
        <v>0</v>
      </c>
      <c r="BD572" s="2">
        <f t="shared" si="520"/>
        <v>0</v>
      </c>
      <c r="BE572" s="2"/>
      <c r="BF572" s="2"/>
      <c r="BG572" s="2"/>
      <c r="BH572" s="2"/>
      <c r="BI572" s="2"/>
      <c r="BJ572" s="2"/>
      <c r="BK572" s="2"/>
      <c r="BL572" s="2"/>
      <c r="BM572" s="2"/>
      <c r="BN572" s="2"/>
      <c r="BO572" s="2"/>
      <c r="BP572" s="2"/>
      <c r="BQ572" s="2"/>
      <c r="BR572" s="2"/>
      <c r="BS572" s="2"/>
      <c r="BT572" s="2"/>
      <c r="BU572" s="2"/>
      <c r="BV572" s="2"/>
      <c r="BW572" s="2"/>
      <c r="BX572" s="2">
        <f>ROUND(SUMIF(AA568:AA570,"=1471718271",FQ568:FQ570),2)</f>
        <v>0</v>
      </c>
      <c r="BY572" s="2">
        <f>ROUND(SUMIF(AA568:AA570,"=1471718271",FR568:FR570),2)</f>
        <v>0</v>
      </c>
      <c r="BZ572" s="2">
        <f>ROUND(SUMIF(AA568:AA570,"=1471718271",GL568:GL570),2)</f>
        <v>0</v>
      </c>
      <c r="CA572" s="2">
        <f>ROUND(SUMIF(AA568:AA570,"=1471718271",GM568:GM570),2)</f>
        <v>4741.2</v>
      </c>
      <c r="CB572" s="2">
        <f>ROUND(SUMIF(AA568:AA570,"=1471718271",GN568:GN570),2)</f>
        <v>0</v>
      </c>
      <c r="CC572" s="2">
        <f>ROUND(SUMIF(AA568:AA570,"=1471718271",GO568:GO570),2)</f>
        <v>0</v>
      </c>
      <c r="CD572" s="2">
        <f>ROUND(SUMIF(AA568:AA570,"=1471718271",GP568:GP570),2)</f>
        <v>4741.2</v>
      </c>
      <c r="CE572" s="2">
        <f>AC572-BX572</f>
        <v>66</v>
      </c>
      <c r="CF572" s="2">
        <f>AC572-BY572</f>
        <v>66</v>
      </c>
      <c r="CG572" s="2">
        <f>BX572-BZ572</f>
        <v>0</v>
      </c>
      <c r="CH572" s="2">
        <f>AC572-BX572-BY572+BZ572</f>
        <v>66</v>
      </c>
      <c r="CI572" s="2">
        <f>BY572-BZ572</f>
        <v>0</v>
      </c>
      <c r="CJ572" s="2">
        <f>ROUND(SUMIF(AA568:AA570,"=1471718271",GX568:GX570),2)</f>
        <v>0</v>
      </c>
      <c r="CK572" s="2">
        <f>ROUND(SUMIF(AA568:AA570,"=1471718271",GY568:GY570),2)</f>
        <v>0</v>
      </c>
      <c r="CL572" s="2">
        <f>ROUND(SUMIF(AA568:AA570,"=1471718271",GZ568:GZ570),2)</f>
        <v>0</v>
      </c>
      <c r="CM572" s="2">
        <f>ROUND(SUMIF(AA568:AA570,"=1471718271",HD568:HD570),2)</f>
        <v>0</v>
      </c>
      <c r="CN572" s="2"/>
      <c r="CO572" s="2"/>
      <c r="CP572" s="2"/>
      <c r="CQ572" s="2"/>
      <c r="CR572" s="2"/>
      <c r="CS572" s="2"/>
      <c r="CT572" s="2"/>
      <c r="CU572" s="2"/>
      <c r="CV572" s="2"/>
      <c r="CW572" s="2"/>
      <c r="CX572" s="2"/>
      <c r="CY572" s="2"/>
      <c r="CZ572" s="2"/>
      <c r="DA572" s="2"/>
      <c r="DB572" s="2"/>
      <c r="DC572" s="2"/>
      <c r="DD572" s="2"/>
      <c r="DE572" s="2"/>
      <c r="DF572" s="2"/>
      <c r="DG572" s="3"/>
      <c r="DH572" s="3"/>
      <c r="DI572" s="3"/>
      <c r="DJ572" s="3"/>
      <c r="DK572" s="3"/>
      <c r="DL572" s="3"/>
      <c r="DM572" s="3"/>
      <c r="DN572" s="3"/>
      <c r="DO572" s="3"/>
      <c r="DP572" s="3"/>
      <c r="DQ572" s="3"/>
      <c r="DR572" s="3"/>
      <c r="DS572" s="3"/>
      <c r="DT572" s="3"/>
      <c r="DU572" s="3"/>
      <c r="DV572" s="3"/>
      <c r="DW572" s="3"/>
      <c r="DX572" s="3"/>
      <c r="DY572" s="3"/>
      <c r="DZ572" s="3"/>
      <c r="EA572" s="3"/>
      <c r="EB572" s="3"/>
      <c r="EC572" s="3"/>
      <c r="ED572" s="3"/>
      <c r="EE572" s="3"/>
      <c r="EF572" s="3"/>
      <c r="EG572" s="3"/>
      <c r="EH572" s="3"/>
      <c r="EI572" s="3"/>
      <c r="EJ572" s="3"/>
      <c r="EK572" s="3"/>
      <c r="EL572" s="3"/>
      <c r="EM572" s="3"/>
      <c r="EN572" s="3"/>
      <c r="EO572" s="3"/>
      <c r="EP572" s="3"/>
      <c r="EQ572" s="3"/>
      <c r="ER572" s="3"/>
      <c r="ES572" s="3"/>
      <c r="ET572" s="3"/>
      <c r="EU572" s="3"/>
      <c r="EV572" s="3"/>
      <c r="EW572" s="3"/>
      <c r="EX572" s="3"/>
      <c r="EY572" s="3"/>
      <c r="EZ572" s="3"/>
      <c r="FA572" s="3"/>
      <c r="FB572" s="3"/>
      <c r="FC572" s="3"/>
      <c r="FD572" s="3"/>
      <c r="FE572" s="3"/>
      <c r="FF572" s="3"/>
      <c r="FG572" s="3"/>
      <c r="FH572" s="3"/>
      <c r="FI572" s="3"/>
      <c r="FJ572" s="3"/>
      <c r="FK572" s="3"/>
      <c r="FL572" s="3"/>
      <c r="FM572" s="3"/>
      <c r="FN572" s="3"/>
      <c r="FO572" s="3"/>
      <c r="FP572" s="3"/>
      <c r="FQ572" s="3"/>
      <c r="FR572" s="3"/>
      <c r="FS572" s="3"/>
      <c r="FT572" s="3"/>
      <c r="FU572" s="3"/>
      <c r="FV572" s="3"/>
      <c r="FW572" s="3"/>
      <c r="FX572" s="3"/>
      <c r="FY572" s="3"/>
      <c r="FZ572" s="3"/>
      <c r="GA572" s="3"/>
      <c r="GB572" s="3"/>
      <c r="GC572" s="3"/>
      <c r="GD572" s="3"/>
      <c r="GE572" s="3"/>
      <c r="GF572" s="3"/>
      <c r="GG572" s="3"/>
      <c r="GH572" s="3"/>
      <c r="GI572" s="3"/>
      <c r="GJ572" s="3"/>
      <c r="GK572" s="3"/>
      <c r="GL572" s="3"/>
      <c r="GM572" s="3"/>
      <c r="GN572" s="3"/>
      <c r="GO572" s="3"/>
      <c r="GP572" s="3"/>
      <c r="GQ572" s="3"/>
      <c r="GR572" s="3"/>
      <c r="GS572" s="3"/>
      <c r="GT572" s="3"/>
      <c r="GU572" s="3"/>
      <c r="GV572" s="3"/>
      <c r="GW572" s="3"/>
      <c r="GX572" s="3">
        <v>0</v>
      </c>
    </row>
    <row r="574" spans="1:245" x14ac:dyDescent="0.2">
      <c r="A574" s="4">
        <v>50</v>
      </c>
      <c r="B574" s="4">
        <v>0</v>
      </c>
      <c r="C574" s="4">
        <v>0</v>
      </c>
      <c r="D574" s="4">
        <v>1</v>
      </c>
      <c r="E574" s="4">
        <v>201</v>
      </c>
      <c r="F574" s="4">
        <f>ROUND(Source!O572,O574)</f>
        <v>2666.4</v>
      </c>
      <c r="G574" s="4" t="s">
        <v>98</v>
      </c>
      <c r="H574" s="4" t="s">
        <v>99</v>
      </c>
      <c r="I574" s="4"/>
      <c r="J574" s="4"/>
      <c r="K574" s="4">
        <v>201</v>
      </c>
      <c r="L574" s="4">
        <v>1</v>
      </c>
      <c r="M574" s="4">
        <v>3</v>
      </c>
      <c r="N574" s="4" t="s">
        <v>3</v>
      </c>
      <c r="O574" s="4">
        <v>2</v>
      </c>
      <c r="P574" s="4"/>
      <c r="Q574" s="4"/>
      <c r="R574" s="4"/>
      <c r="S574" s="4"/>
      <c r="T574" s="4"/>
      <c r="U574" s="4"/>
      <c r="V574" s="4"/>
      <c r="W574" s="4">
        <v>2666.4</v>
      </c>
      <c r="X574" s="4">
        <v>1</v>
      </c>
      <c r="Y574" s="4">
        <v>2666.4</v>
      </c>
      <c r="Z574" s="4"/>
      <c r="AA574" s="4"/>
      <c r="AB574" s="4"/>
    </row>
    <row r="575" spans="1:245" x14ac:dyDescent="0.2">
      <c r="A575" s="4">
        <v>50</v>
      </c>
      <c r="B575" s="4">
        <v>0</v>
      </c>
      <c r="C575" s="4">
        <v>0</v>
      </c>
      <c r="D575" s="4">
        <v>1</v>
      </c>
      <c r="E575" s="4">
        <v>202</v>
      </c>
      <c r="F575" s="4">
        <f>ROUND(Source!P572,O575)</f>
        <v>66</v>
      </c>
      <c r="G575" s="4" t="s">
        <v>100</v>
      </c>
      <c r="H575" s="4" t="s">
        <v>101</v>
      </c>
      <c r="I575" s="4"/>
      <c r="J575" s="4"/>
      <c r="K575" s="4">
        <v>202</v>
      </c>
      <c r="L575" s="4">
        <v>2</v>
      </c>
      <c r="M575" s="4">
        <v>3</v>
      </c>
      <c r="N575" s="4" t="s">
        <v>3</v>
      </c>
      <c r="O575" s="4">
        <v>2</v>
      </c>
      <c r="P575" s="4"/>
      <c r="Q575" s="4"/>
      <c r="R575" s="4"/>
      <c r="S575" s="4"/>
      <c r="T575" s="4"/>
      <c r="U575" s="4"/>
      <c r="V575" s="4"/>
      <c r="W575" s="4">
        <v>66</v>
      </c>
      <c r="X575" s="4">
        <v>1</v>
      </c>
      <c r="Y575" s="4">
        <v>66</v>
      </c>
      <c r="Z575" s="4"/>
      <c r="AA575" s="4"/>
      <c r="AB575" s="4"/>
    </row>
    <row r="576" spans="1:245" x14ac:dyDescent="0.2">
      <c r="A576" s="4">
        <v>50</v>
      </c>
      <c r="B576" s="4">
        <v>0</v>
      </c>
      <c r="C576" s="4">
        <v>0</v>
      </c>
      <c r="D576" s="4">
        <v>1</v>
      </c>
      <c r="E576" s="4">
        <v>222</v>
      </c>
      <c r="F576" s="4">
        <f>ROUND(Source!AO572,O576)</f>
        <v>0</v>
      </c>
      <c r="G576" s="4" t="s">
        <v>102</v>
      </c>
      <c r="H576" s="4" t="s">
        <v>103</v>
      </c>
      <c r="I576" s="4"/>
      <c r="J576" s="4"/>
      <c r="K576" s="4">
        <v>222</v>
      </c>
      <c r="L576" s="4">
        <v>3</v>
      </c>
      <c r="M576" s="4">
        <v>3</v>
      </c>
      <c r="N576" s="4" t="s">
        <v>3</v>
      </c>
      <c r="O576" s="4">
        <v>2</v>
      </c>
      <c r="P576" s="4"/>
      <c r="Q576" s="4"/>
      <c r="R576" s="4"/>
      <c r="S576" s="4"/>
      <c r="T576" s="4"/>
      <c r="U576" s="4"/>
      <c r="V576" s="4"/>
      <c r="W576" s="4">
        <v>0</v>
      </c>
      <c r="X576" s="4">
        <v>1</v>
      </c>
      <c r="Y576" s="4">
        <v>0</v>
      </c>
      <c r="Z576" s="4"/>
      <c r="AA576" s="4"/>
      <c r="AB576" s="4"/>
    </row>
    <row r="577" spans="1:28" x14ac:dyDescent="0.2">
      <c r="A577" s="4">
        <v>50</v>
      </c>
      <c r="B577" s="4">
        <v>0</v>
      </c>
      <c r="C577" s="4">
        <v>0</v>
      </c>
      <c r="D577" s="4">
        <v>1</v>
      </c>
      <c r="E577" s="4">
        <v>225</v>
      </c>
      <c r="F577" s="4">
        <f>ROUND(Source!AV572,O577)</f>
        <v>66</v>
      </c>
      <c r="G577" s="4" t="s">
        <v>104</v>
      </c>
      <c r="H577" s="4" t="s">
        <v>105</v>
      </c>
      <c r="I577" s="4"/>
      <c r="J577" s="4"/>
      <c r="K577" s="4">
        <v>225</v>
      </c>
      <c r="L577" s="4">
        <v>4</v>
      </c>
      <c r="M577" s="4">
        <v>3</v>
      </c>
      <c r="N577" s="4" t="s">
        <v>3</v>
      </c>
      <c r="O577" s="4">
        <v>2</v>
      </c>
      <c r="P577" s="4"/>
      <c r="Q577" s="4"/>
      <c r="R577" s="4"/>
      <c r="S577" s="4"/>
      <c r="T577" s="4"/>
      <c r="U577" s="4"/>
      <c r="V577" s="4"/>
      <c r="W577" s="4">
        <v>66</v>
      </c>
      <c r="X577" s="4">
        <v>1</v>
      </c>
      <c r="Y577" s="4">
        <v>66</v>
      </c>
      <c r="Z577" s="4"/>
      <c r="AA577" s="4"/>
      <c r="AB577" s="4"/>
    </row>
    <row r="578" spans="1:28" x14ac:dyDescent="0.2">
      <c r="A578" s="4">
        <v>50</v>
      </c>
      <c r="B578" s="4">
        <v>0</v>
      </c>
      <c r="C578" s="4">
        <v>0</v>
      </c>
      <c r="D578" s="4">
        <v>1</v>
      </c>
      <c r="E578" s="4">
        <v>226</v>
      </c>
      <c r="F578" s="4">
        <f>ROUND(Source!AW572,O578)</f>
        <v>66</v>
      </c>
      <c r="G578" s="4" t="s">
        <v>106</v>
      </c>
      <c r="H578" s="4" t="s">
        <v>107</v>
      </c>
      <c r="I578" s="4"/>
      <c r="J578" s="4"/>
      <c r="K578" s="4">
        <v>226</v>
      </c>
      <c r="L578" s="4">
        <v>5</v>
      </c>
      <c r="M578" s="4">
        <v>3</v>
      </c>
      <c r="N578" s="4" t="s">
        <v>3</v>
      </c>
      <c r="O578" s="4">
        <v>2</v>
      </c>
      <c r="P578" s="4"/>
      <c r="Q578" s="4"/>
      <c r="R578" s="4"/>
      <c r="S578" s="4"/>
      <c r="T578" s="4"/>
      <c r="U578" s="4"/>
      <c r="V578" s="4"/>
      <c r="W578" s="4">
        <v>66</v>
      </c>
      <c r="X578" s="4">
        <v>1</v>
      </c>
      <c r="Y578" s="4">
        <v>66</v>
      </c>
      <c r="Z578" s="4"/>
      <c r="AA578" s="4"/>
      <c r="AB578" s="4"/>
    </row>
    <row r="579" spans="1:28" x14ac:dyDescent="0.2">
      <c r="A579" s="4">
        <v>50</v>
      </c>
      <c r="B579" s="4">
        <v>0</v>
      </c>
      <c r="C579" s="4">
        <v>0</v>
      </c>
      <c r="D579" s="4">
        <v>1</v>
      </c>
      <c r="E579" s="4">
        <v>227</v>
      </c>
      <c r="F579" s="4">
        <f>ROUND(Source!AX572,O579)</f>
        <v>0</v>
      </c>
      <c r="G579" s="4" t="s">
        <v>108</v>
      </c>
      <c r="H579" s="4" t="s">
        <v>109</v>
      </c>
      <c r="I579" s="4"/>
      <c r="J579" s="4"/>
      <c r="K579" s="4">
        <v>227</v>
      </c>
      <c r="L579" s="4">
        <v>6</v>
      </c>
      <c r="M579" s="4">
        <v>3</v>
      </c>
      <c r="N579" s="4" t="s">
        <v>3</v>
      </c>
      <c r="O579" s="4">
        <v>2</v>
      </c>
      <c r="P579" s="4"/>
      <c r="Q579" s="4"/>
      <c r="R579" s="4"/>
      <c r="S579" s="4"/>
      <c r="T579" s="4"/>
      <c r="U579" s="4"/>
      <c r="V579" s="4"/>
      <c r="W579" s="4">
        <v>0</v>
      </c>
      <c r="X579" s="4">
        <v>1</v>
      </c>
      <c r="Y579" s="4">
        <v>0</v>
      </c>
      <c r="Z579" s="4"/>
      <c r="AA579" s="4"/>
      <c r="AB579" s="4"/>
    </row>
    <row r="580" spans="1:28" x14ac:dyDescent="0.2">
      <c r="A580" s="4">
        <v>50</v>
      </c>
      <c r="B580" s="4">
        <v>0</v>
      </c>
      <c r="C580" s="4">
        <v>0</v>
      </c>
      <c r="D580" s="4">
        <v>1</v>
      </c>
      <c r="E580" s="4">
        <v>228</v>
      </c>
      <c r="F580" s="4">
        <f>ROUND(Source!AY572,O580)</f>
        <v>66</v>
      </c>
      <c r="G580" s="4" t="s">
        <v>110</v>
      </c>
      <c r="H580" s="4" t="s">
        <v>111</v>
      </c>
      <c r="I580" s="4"/>
      <c r="J580" s="4"/>
      <c r="K580" s="4">
        <v>228</v>
      </c>
      <c r="L580" s="4">
        <v>7</v>
      </c>
      <c r="M580" s="4">
        <v>3</v>
      </c>
      <c r="N580" s="4" t="s">
        <v>3</v>
      </c>
      <c r="O580" s="4">
        <v>2</v>
      </c>
      <c r="P580" s="4"/>
      <c r="Q580" s="4"/>
      <c r="R580" s="4"/>
      <c r="S580" s="4"/>
      <c r="T580" s="4"/>
      <c r="U580" s="4"/>
      <c r="V580" s="4"/>
      <c r="W580" s="4">
        <v>66</v>
      </c>
      <c r="X580" s="4">
        <v>1</v>
      </c>
      <c r="Y580" s="4">
        <v>66</v>
      </c>
      <c r="Z580" s="4"/>
      <c r="AA580" s="4"/>
      <c r="AB580" s="4"/>
    </row>
    <row r="581" spans="1:28" x14ac:dyDescent="0.2">
      <c r="A581" s="4">
        <v>50</v>
      </c>
      <c r="B581" s="4">
        <v>0</v>
      </c>
      <c r="C581" s="4">
        <v>0</v>
      </c>
      <c r="D581" s="4">
        <v>1</v>
      </c>
      <c r="E581" s="4">
        <v>216</v>
      </c>
      <c r="F581" s="4">
        <f>ROUND(Source!AP572,O581)</f>
        <v>0</v>
      </c>
      <c r="G581" s="4" t="s">
        <v>112</v>
      </c>
      <c r="H581" s="4" t="s">
        <v>113</v>
      </c>
      <c r="I581" s="4"/>
      <c r="J581" s="4"/>
      <c r="K581" s="4">
        <v>216</v>
      </c>
      <c r="L581" s="4">
        <v>8</v>
      </c>
      <c r="M581" s="4">
        <v>3</v>
      </c>
      <c r="N581" s="4" t="s">
        <v>3</v>
      </c>
      <c r="O581" s="4">
        <v>2</v>
      </c>
      <c r="P581" s="4"/>
      <c r="Q581" s="4"/>
      <c r="R581" s="4"/>
      <c r="S581" s="4"/>
      <c r="T581" s="4"/>
      <c r="U581" s="4"/>
      <c r="V581" s="4"/>
      <c r="W581" s="4">
        <v>0</v>
      </c>
      <c r="X581" s="4">
        <v>1</v>
      </c>
      <c r="Y581" s="4">
        <v>0</v>
      </c>
      <c r="Z581" s="4"/>
      <c r="AA581" s="4"/>
      <c r="AB581" s="4"/>
    </row>
    <row r="582" spans="1:28" x14ac:dyDescent="0.2">
      <c r="A582" s="4">
        <v>50</v>
      </c>
      <c r="B582" s="4">
        <v>0</v>
      </c>
      <c r="C582" s="4">
        <v>0</v>
      </c>
      <c r="D582" s="4">
        <v>1</v>
      </c>
      <c r="E582" s="4">
        <v>223</v>
      </c>
      <c r="F582" s="4">
        <f>ROUND(Source!AQ572,O582)</f>
        <v>0</v>
      </c>
      <c r="G582" s="4" t="s">
        <v>114</v>
      </c>
      <c r="H582" s="4" t="s">
        <v>115</v>
      </c>
      <c r="I582" s="4"/>
      <c r="J582" s="4"/>
      <c r="K582" s="4">
        <v>223</v>
      </c>
      <c r="L582" s="4">
        <v>9</v>
      </c>
      <c r="M582" s="4">
        <v>3</v>
      </c>
      <c r="N582" s="4" t="s">
        <v>3</v>
      </c>
      <c r="O582" s="4">
        <v>2</v>
      </c>
      <c r="P582" s="4"/>
      <c r="Q582" s="4"/>
      <c r="R582" s="4"/>
      <c r="S582" s="4"/>
      <c r="T582" s="4"/>
      <c r="U582" s="4"/>
      <c r="V582" s="4"/>
      <c r="W582" s="4">
        <v>0</v>
      </c>
      <c r="X582" s="4">
        <v>1</v>
      </c>
      <c r="Y582" s="4">
        <v>0</v>
      </c>
      <c r="Z582" s="4"/>
      <c r="AA582" s="4"/>
      <c r="AB582" s="4"/>
    </row>
    <row r="583" spans="1:28" x14ac:dyDescent="0.2">
      <c r="A583" s="4">
        <v>50</v>
      </c>
      <c r="B583" s="4">
        <v>0</v>
      </c>
      <c r="C583" s="4">
        <v>0</v>
      </c>
      <c r="D583" s="4">
        <v>1</v>
      </c>
      <c r="E583" s="4">
        <v>229</v>
      </c>
      <c r="F583" s="4">
        <f>ROUND(Source!AZ572,O583)</f>
        <v>0</v>
      </c>
      <c r="G583" s="4" t="s">
        <v>116</v>
      </c>
      <c r="H583" s="4" t="s">
        <v>117</v>
      </c>
      <c r="I583" s="4"/>
      <c r="J583" s="4"/>
      <c r="K583" s="4">
        <v>229</v>
      </c>
      <c r="L583" s="4">
        <v>10</v>
      </c>
      <c r="M583" s="4">
        <v>3</v>
      </c>
      <c r="N583" s="4" t="s">
        <v>3</v>
      </c>
      <c r="O583" s="4">
        <v>2</v>
      </c>
      <c r="P583" s="4"/>
      <c r="Q583" s="4"/>
      <c r="R583" s="4"/>
      <c r="S583" s="4"/>
      <c r="T583" s="4"/>
      <c r="U583" s="4"/>
      <c r="V583" s="4"/>
      <c r="W583" s="4">
        <v>0</v>
      </c>
      <c r="X583" s="4">
        <v>1</v>
      </c>
      <c r="Y583" s="4">
        <v>0</v>
      </c>
      <c r="Z583" s="4"/>
      <c r="AA583" s="4"/>
      <c r="AB583" s="4"/>
    </row>
    <row r="584" spans="1:28" x14ac:dyDescent="0.2">
      <c r="A584" s="4">
        <v>50</v>
      </c>
      <c r="B584" s="4">
        <v>0</v>
      </c>
      <c r="C584" s="4">
        <v>0</v>
      </c>
      <c r="D584" s="4">
        <v>1</v>
      </c>
      <c r="E584" s="4">
        <v>203</v>
      </c>
      <c r="F584" s="4">
        <f>ROUND(Source!Q572,O584)</f>
        <v>6.9</v>
      </c>
      <c r="G584" s="4" t="s">
        <v>118</v>
      </c>
      <c r="H584" s="4" t="s">
        <v>119</v>
      </c>
      <c r="I584" s="4"/>
      <c r="J584" s="4"/>
      <c r="K584" s="4">
        <v>203</v>
      </c>
      <c r="L584" s="4">
        <v>11</v>
      </c>
      <c r="M584" s="4">
        <v>3</v>
      </c>
      <c r="N584" s="4" t="s">
        <v>3</v>
      </c>
      <c r="O584" s="4">
        <v>2</v>
      </c>
      <c r="P584" s="4"/>
      <c r="Q584" s="4"/>
      <c r="R584" s="4"/>
      <c r="S584" s="4"/>
      <c r="T584" s="4"/>
      <c r="U584" s="4"/>
      <c r="V584" s="4"/>
      <c r="W584" s="4">
        <v>6.9</v>
      </c>
      <c r="X584" s="4">
        <v>1</v>
      </c>
      <c r="Y584" s="4">
        <v>6.9</v>
      </c>
      <c r="Z584" s="4"/>
      <c r="AA584" s="4"/>
      <c r="AB584" s="4"/>
    </row>
    <row r="585" spans="1:28" x14ac:dyDescent="0.2">
      <c r="A585" s="4">
        <v>50</v>
      </c>
      <c r="B585" s="4">
        <v>0</v>
      </c>
      <c r="C585" s="4">
        <v>0</v>
      </c>
      <c r="D585" s="4">
        <v>1</v>
      </c>
      <c r="E585" s="4">
        <v>231</v>
      </c>
      <c r="F585" s="4">
        <f>ROUND(Source!BB572,O585)</f>
        <v>0</v>
      </c>
      <c r="G585" s="4" t="s">
        <v>120</v>
      </c>
      <c r="H585" s="4" t="s">
        <v>121</v>
      </c>
      <c r="I585" s="4"/>
      <c r="J585" s="4"/>
      <c r="K585" s="4">
        <v>231</v>
      </c>
      <c r="L585" s="4">
        <v>12</v>
      </c>
      <c r="M585" s="4">
        <v>3</v>
      </c>
      <c r="N585" s="4" t="s">
        <v>3</v>
      </c>
      <c r="O585" s="4">
        <v>2</v>
      </c>
      <c r="P585" s="4"/>
      <c r="Q585" s="4"/>
      <c r="R585" s="4"/>
      <c r="S585" s="4"/>
      <c r="T585" s="4"/>
      <c r="U585" s="4"/>
      <c r="V585" s="4"/>
      <c r="W585" s="4">
        <v>0</v>
      </c>
      <c r="X585" s="4">
        <v>1</v>
      </c>
      <c r="Y585" s="4">
        <v>0</v>
      </c>
      <c r="Z585" s="4"/>
      <c r="AA585" s="4"/>
      <c r="AB585" s="4"/>
    </row>
    <row r="586" spans="1:28" x14ac:dyDescent="0.2">
      <c r="A586" s="4">
        <v>50</v>
      </c>
      <c r="B586" s="4">
        <v>0</v>
      </c>
      <c r="C586" s="4">
        <v>0</v>
      </c>
      <c r="D586" s="4">
        <v>1</v>
      </c>
      <c r="E586" s="4">
        <v>204</v>
      </c>
      <c r="F586" s="4">
        <f>ROUND(Source!R572,O586)</f>
        <v>0</v>
      </c>
      <c r="G586" s="4" t="s">
        <v>122</v>
      </c>
      <c r="H586" s="4" t="s">
        <v>123</v>
      </c>
      <c r="I586" s="4"/>
      <c r="J586" s="4"/>
      <c r="K586" s="4">
        <v>204</v>
      </c>
      <c r="L586" s="4">
        <v>13</v>
      </c>
      <c r="M586" s="4">
        <v>3</v>
      </c>
      <c r="N586" s="4" t="s">
        <v>3</v>
      </c>
      <c r="O586" s="4">
        <v>2</v>
      </c>
      <c r="P586" s="4"/>
      <c r="Q586" s="4"/>
      <c r="R586" s="4"/>
      <c r="S586" s="4"/>
      <c r="T586" s="4"/>
      <c r="U586" s="4"/>
      <c r="V586" s="4"/>
      <c r="W586" s="4">
        <v>0</v>
      </c>
      <c r="X586" s="4">
        <v>1</v>
      </c>
      <c r="Y586" s="4">
        <v>0</v>
      </c>
      <c r="Z586" s="4"/>
      <c r="AA586" s="4"/>
      <c r="AB586" s="4"/>
    </row>
    <row r="587" spans="1:28" x14ac:dyDescent="0.2">
      <c r="A587" s="4">
        <v>50</v>
      </c>
      <c r="B587" s="4">
        <v>0</v>
      </c>
      <c r="C587" s="4">
        <v>0</v>
      </c>
      <c r="D587" s="4">
        <v>1</v>
      </c>
      <c r="E587" s="4">
        <v>205</v>
      </c>
      <c r="F587" s="4">
        <f>ROUND(Source!S572,O587)</f>
        <v>2593.5</v>
      </c>
      <c r="G587" s="4" t="s">
        <v>124</v>
      </c>
      <c r="H587" s="4" t="s">
        <v>125</v>
      </c>
      <c r="I587" s="4"/>
      <c r="J587" s="4"/>
      <c r="K587" s="4">
        <v>205</v>
      </c>
      <c r="L587" s="4">
        <v>14</v>
      </c>
      <c r="M587" s="4">
        <v>3</v>
      </c>
      <c r="N587" s="4" t="s">
        <v>3</v>
      </c>
      <c r="O587" s="4">
        <v>2</v>
      </c>
      <c r="P587" s="4"/>
      <c r="Q587" s="4"/>
      <c r="R587" s="4"/>
      <c r="S587" s="4"/>
      <c r="T587" s="4"/>
      <c r="U587" s="4"/>
      <c r="V587" s="4"/>
      <c r="W587" s="4">
        <v>2593.5</v>
      </c>
      <c r="X587" s="4">
        <v>1</v>
      </c>
      <c r="Y587" s="4">
        <v>2593.5</v>
      </c>
      <c r="Z587" s="4"/>
      <c r="AA587" s="4"/>
      <c r="AB587" s="4"/>
    </row>
    <row r="588" spans="1:28" x14ac:dyDescent="0.2">
      <c r="A588" s="4">
        <v>50</v>
      </c>
      <c r="B588" s="4">
        <v>0</v>
      </c>
      <c r="C588" s="4">
        <v>0</v>
      </c>
      <c r="D588" s="4">
        <v>1</v>
      </c>
      <c r="E588" s="4">
        <v>232</v>
      </c>
      <c r="F588" s="4">
        <f>ROUND(Source!BC572,O588)</f>
        <v>0</v>
      </c>
      <c r="G588" s="4" t="s">
        <v>126</v>
      </c>
      <c r="H588" s="4" t="s">
        <v>127</v>
      </c>
      <c r="I588" s="4"/>
      <c r="J588" s="4"/>
      <c r="K588" s="4">
        <v>232</v>
      </c>
      <c r="L588" s="4">
        <v>15</v>
      </c>
      <c r="M588" s="4">
        <v>3</v>
      </c>
      <c r="N588" s="4" t="s">
        <v>3</v>
      </c>
      <c r="O588" s="4">
        <v>2</v>
      </c>
      <c r="P588" s="4"/>
      <c r="Q588" s="4"/>
      <c r="R588" s="4"/>
      <c r="S588" s="4"/>
      <c r="T588" s="4"/>
      <c r="U588" s="4"/>
      <c r="V588" s="4"/>
      <c r="W588" s="4">
        <v>0</v>
      </c>
      <c r="X588" s="4">
        <v>1</v>
      </c>
      <c r="Y588" s="4">
        <v>0</v>
      </c>
      <c r="Z588" s="4"/>
      <c r="AA588" s="4"/>
      <c r="AB588" s="4"/>
    </row>
    <row r="589" spans="1:28" x14ac:dyDescent="0.2">
      <c r="A589" s="4">
        <v>50</v>
      </c>
      <c r="B589" s="4">
        <v>0</v>
      </c>
      <c r="C589" s="4">
        <v>0</v>
      </c>
      <c r="D589" s="4">
        <v>1</v>
      </c>
      <c r="E589" s="4">
        <v>214</v>
      </c>
      <c r="F589" s="4">
        <f>ROUND(Source!AS572,O589)</f>
        <v>0</v>
      </c>
      <c r="G589" s="4" t="s">
        <v>128</v>
      </c>
      <c r="H589" s="4" t="s">
        <v>129</v>
      </c>
      <c r="I589" s="4"/>
      <c r="J589" s="4"/>
      <c r="K589" s="4">
        <v>214</v>
      </c>
      <c r="L589" s="4">
        <v>16</v>
      </c>
      <c r="M589" s="4">
        <v>3</v>
      </c>
      <c r="N589" s="4" t="s">
        <v>3</v>
      </c>
      <c r="O589" s="4">
        <v>2</v>
      </c>
      <c r="P589" s="4"/>
      <c r="Q589" s="4"/>
      <c r="R589" s="4"/>
      <c r="S589" s="4"/>
      <c r="T589" s="4"/>
      <c r="U589" s="4"/>
      <c r="V589" s="4"/>
      <c r="W589" s="4">
        <v>0</v>
      </c>
      <c r="X589" s="4">
        <v>1</v>
      </c>
      <c r="Y589" s="4">
        <v>0</v>
      </c>
      <c r="Z589" s="4"/>
      <c r="AA589" s="4"/>
      <c r="AB589" s="4"/>
    </row>
    <row r="590" spans="1:28" x14ac:dyDescent="0.2">
      <c r="A590" s="4">
        <v>50</v>
      </c>
      <c r="B590" s="4">
        <v>0</v>
      </c>
      <c r="C590" s="4">
        <v>0</v>
      </c>
      <c r="D590" s="4">
        <v>1</v>
      </c>
      <c r="E590" s="4">
        <v>215</v>
      </c>
      <c r="F590" s="4">
        <f>ROUND(Source!AT572,O590)</f>
        <v>0</v>
      </c>
      <c r="G590" s="4" t="s">
        <v>130</v>
      </c>
      <c r="H590" s="4" t="s">
        <v>131</v>
      </c>
      <c r="I590" s="4"/>
      <c r="J590" s="4"/>
      <c r="K590" s="4">
        <v>215</v>
      </c>
      <c r="L590" s="4">
        <v>17</v>
      </c>
      <c r="M590" s="4">
        <v>3</v>
      </c>
      <c r="N590" s="4" t="s">
        <v>3</v>
      </c>
      <c r="O590" s="4">
        <v>2</v>
      </c>
      <c r="P590" s="4"/>
      <c r="Q590" s="4"/>
      <c r="R590" s="4"/>
      <c r="S590" s="4"/>
      <c r="T590" s="4"/>
      <c r="U590" s="4"/>
      <c r="V590" s="4"/>
      <c r="W590" s="4">
        <v>0</v>
      </c>
      <c r="X590" s="4">
        <v>1</v>
      </c>
      <c r="Y590" s="4">
        <v>0</v>
      </c>
      <c r="Z590" s="4"/>
      <c r="AA590" s="4"/>
      <c r="AB590" s="4"/>
    </row>
    <row r="591" spans="1:28" x14ac:dyDescent="0.2">
      <c r="A591" s="4">
        <v>50</v>
      </c>
      <c r="B591" s="4">
        <v>0</v>
      </c>
      <c r="C591" s="4">
        <v>0</v>
      </c>
      <c r="D591" s="4">
        <v>1</v>
      </c>
      <c r="E591" s="4">
        <v>217</v>
      </c>
      <c r="F591" s="4">
        <f>ROUND(Source!AU572,O591)</f>
        <v>4741.2</v>
      </c>
      <c r="G591" s="4" t="s">
        <v>132</v>
      </c>
      <c r="H591" s="4" t="s">
        <v>133</v>
      </c>
      <c r="I591" s="4"/>
      <c r="J591" s="4"/>
      <c r="K591" s="4">
        <v>217</v>
      </c>
      <c r="L591" s="4">
        <v>18</v>
      </c>
      <c r="M591" s="4">
        <v>3</v>
      </c>
      <c r="N591" s="4" t="s">
        <v>3</v>
      </c>
      <c r="O591" s="4">
        <v>2</v>
      </c>
      <c r="P591" s="4"/>
      <c r="Q591" s="4"/>
      <c r="R591" s="4"/>
      <c r="S591" s="4"/>
      <c r="T591" s="4"/>
      <c r="U591" s="4"/>
      <c r="V591" s="4"/>
      <c r="W591" s="4">
        <v>4741.2</v>
      </c>
      <c r="X591" s="4">
        <v>1</v>
      </c>
      <c r="Y591" s="4">
        <v>4741.2</v>
      </c>
      <c r="Z591" s="4"/>
      <c r="AA591" s="4"/>
      <c r="AB591" s="4"/>
    </row>
    <row r="592" spans="1:28" x14ac:dyDescent="0.2">
      <c r="A592" s="4">
        <v>50</v>
      </c>
      <c r="B592" s="4">
        <v>0</v>
      </c>
      <c r="C592" s="4">
        <v>0</v>
      </c>
      <c r="D592" s="4">
        <v>1</v>
      </c>
      <c r="E592" s="4">
        <v>230</v>
      </c>
      <c r="F592" s="4">
        <f>ROUND(Source!BA572,O592)</f>
        <v>0</v>
      </c>
      <c r="G592" s="4" t="s">
        <v>134</v>
      </c>
      <c r="H592" s="4" t="s">
        <v>135</v>
      </c>
      <c r="I592" s="4"/>
      <c r="J592" s="4"/>
      <c r="K592" s="4">
        <v>230</v>
      </c>
      <c r="L592" s="4">
        <v>19</v>
      </c>
      <c r="M592" s="4">
        <v>3</v>
      </c>
      <c r="N592" s="4" t="s">
        <v>3</v>
      </c>
      <c r="O592" s="4">
        <v>2</v>
      </c>
      <c r="P592" s="4"/>
      <c r="Q592" s="4"/>
      <c r="R592" s="4"/>
      <c r="S592" s="4"/>
      <c r="T592" s="4"/>
      <c r="U592" s="4"/>
      <c r="V592" s="4"/>
      <c r="W592" s="4">
        <v>0</v>
      </c>
      <c r="X592" s="4">
        <v>1</v>
      </c>
      <c r="Y592" s="4">
        <v>0</v>
      </c>
      <c r="Z592" s="4"/>
      <c r="AA592" s="4"/>
      <c r="AB592" s="4"/>
    </row>
    <row r="593" spans="1:245" x14ac:dyDescent="0.2">
      <c r="A593" s="4">
        <v>50</v>
      </c>
      <c r="B593" s="4">
        <v>0</v>
      </c>
      <c r="C593" s="4">
        <v>0</v>
      </c>
      <c r="D593" s="4">
        <v>1</v>
      </c>
      <c r="E593" s="4">
        <v>206</v>
      </c>
      <c r="F593" s="4">
        <f>ROUND(Source!T572,O593)</f>
        <v>0</v>
      </c>
      <c r="G593" s="4" t="s">
        <v>136</v>
      </c>
      <c r="H593" s="4" t="s">
        <v>137</v>
      </c>
      <c r="I593" s="4"/>
      <c r="J593" s="4"/>
      <c r="K593" s="4">
        <v>206</v>
      </c>
      <c r="L593" s="4">
        <v>20</v>
      </c>
      <c r="M593" s="4">
        <v>3</v>
      </c>
      <c r="N593" s="4" t="s">
        <v>3</v>
      </c>
      <c r="O593" s="4">
        <v>2</v>
      </c>
      <c r="P593" s="4"/>
      <c r="Q593" s="4"/>
      <c r="R593" s="4"/>
      <c r="S593" s="4"/>
      <c r="T593" s="4"/>
      <c r="U593" s="4"/>
      <c r="V593" s="4"/>
      <c r="W593" s="4">
        <v>0</v>
      </c>
      <c r="X593" s="4">
        <v>1</v>
      </c>
      <c r="Y593" s="4">
        <v>0</v>
      </c>
      <c r="Z593" s="4"/>
      <c r="AA593" s="4"/>
      <c r="AB593" s="4"/>
    </row>
    <row r="594" spans="1:245" x14ac:dyDescent="0.2">
      <c r="A594" s="4">
        <v>50</v>
      </c>
      <c r="B594" s="4">
        <v>0</v>
      </c>
      <c r="C594" s="4">
        <v>0</v>
      </c>
      <c r="D594" s="4">
        <v>1</v>
      </c>
      <c r="E594" s="4">
        <v>207</v>
      </c>
      <c r="F594" s="4">
        <f>Source!U572</f>
        <v>4.2</v>
      </c>
      <c r="G594" s="4" t="s">
        <v>138</v>
      </c>
      <c r="H594" s="4" t="s">
        <v>139</v>
      </c>
      <c r="I594" s="4"/>
      <c r="J594" s="4"/>
      <c r="K594" s="4">
        <v>207</v>
      </c>
      <c r="L594" s="4">
        <v>21</v>
      </c>
      <c r="M594" s="4">
        <v>3</v>
      </c>
      <c r="N594" s="4" t="s">
        <v>3</v>
      </c>
      <c r="O594" s="4">
        <v>-1</v>
      </c>
      <c r="P594" s="4"/>
      <c r="Q594" s="4"/>
      <c r="R594" s="4"/>
      <c r="S594" s="4"/>
      <c r="T594" s="4"/>
      <c r="U594" s="4"/>
      <c r="V594" s="4"/>
      <c r="W594" s="4">
        <v>4.2</v>
      </c>
      <c r="X594" s="4">
        <v>1</v>
      </c>
      <c r="Y594" s="4">
        <v>4.2</v>
      </c>
      <c r="Z594" s="4"/>
      <c r="AA594" s="4"/>
      <c r="AB594" s="4"/>
    </row>
    <row r="595" spans="1:245" x14ac:dyDescent="0.2">
      <c r="A595" s="4">
        <v>50</v>
      </c>
      <c r="B595" s="4">
        <v>0</v>
      </c>
      <c r="C595" s="4">
        <v>0</v>
      </c>
      <c r="D595" s="4">
        <v>1</v>
      </c>
      <c r="E595" s="4">
        <v>208</v>
      </c>
      <c r="F595" s="4">
        <f>Source!V572</f>
        <v>0</v>
      </c>
      <c r="G595" s="4" t="s">
        <v>140</v>
      </c>
      <c r="H595" s="4" t="s">
        <v>141</v>
      </c>
      <c r="I595" s="4"/>
      <c r="J595" s="4"/>
      <c r="K595" s="4">
        <v>208</v>
      </c>
      <c r="L595" s="4">
        <v>22</v>
      </c>
      <c r="M595" s="4">
        <v>3</v>
      </c>
      <c r="N595" s="4" t="s">
        <v>3</v>
      </c>
      <c r="O595" s="4">
        <v>-1</v>
      </c>
      <c r="P595" s="4"/>
      <c r="Q595" s="4"/>
      <c r="R595" s="4"/>
      <c r="S595" s="4"/>
      <c r="T595" s="4"/>
      <c r="U595" s="4"/>
      <c r="V595" s="4"/>
      <c r="W595" s="4">
        <v>0</v>
      </c>
      <c r="X595" s="4">
        <v>1</v>
      </c>
      <c r="Y595" s="4">
        <v>0</v>
      </c>
      <c r="Z595" s="4"/>
      <c r="AA595" s="4"/>
      <c r="AB595" s="4"/>
    </row>
    <row r="596" spans="1:245" x14ac:dyDescent="0.2">
      <c r="A596" s="4">
        <v>50</v>
      </c>
      <c r="B596" s="4">
        <v>0</v>
      </c>
      <c r="C596" s="4">
        <v>0</v>
      </c>
      <c r="D596" s="4">
        <v>1</v>
      </c>
      <c r="E596" s="4">
        <v>209</v>
      </c>
      <c r="F596" s="4">
        <f>ROUND(Source!W572,O596)</f>
        <v>0</v>
      </c>
      <c r="G596" s="4" t="s">
        <v>142</v>
      </c>
      <c r="H596" s="4" t="s">
        <v>143</v>
      </c>
      <c r="I596" s="4"/>
      <c r="J596" s="4"/>
      <c r="K596" s="4">
        <v>209</v>
      </c>
      <c r="L596" s="4">
        <v>23</v>
      </c>
      <c r="M596" s="4">
        <v>3</v>
      </c>
      <c r="N596" s="4" t="s">
        <v>3</v>
      </c>
      <c r="O596" s="4">
        <v>2</v>
      </c>
      <c r="P596" s="4"/>
      <c r="Q596" s="4"/>
      <c r="R596" s="4"/>
      <c r="S596" s="4"/>
      <c r="T596" s="4"/>
      <c r="U596" s="4"/>
      <c r="V596" s="4"/>
      <c r="W596" s="4">
        <v>0</v>
      </c>
      <c r="X596" s="4">
        <v>1</v>
      </c>
      <c r="Y596" s="4">
        <v>0</v>
      </c>
      <c r="Z596" s="4"/>
      <c r="AA596" s="4"/>
      <c r="AB596" s="4"/>
    </row>
    <row r="597" spans="1:245" x14ac:dyDescent="0.2">
      <c r="A597" s="4">
        <v>50</v>
      </c>
      <c r="B597" s="4">
        <v>0</v>
      </c>
      <c r="C597" s="4">
        <v>0</v>
      </c>
      <c r="D597" s="4">
        <v>1</v>
      </c>
      <c r="E597" s="4">
        <v>233</v>
      </c>
      <c r="F597" s="4">
        <f>ROUND(Source!BD572,O597)</f>
        <v>0</v>
      </c>
      <c r="G597" s="4" t="s">
        <v>144</v>
      </c>
      <c r="H597" s="4" t="s">
        <v>145</v>
      </c>
      <c r="I597" s="4"/>
      <c r="J597" s="4"/>
      <c r="K597" s="4">
        <v>233</v>
      </c>
      <c r="L597" s="4">
        <v>24</v>
      </c>
      <c r="M597" s="4">
        <v>3</v>
      </c>
      <c r="N597" s="4" t="s">
        <v>3</v>
      </c>
      <c r="O597" s="4">
        <v>2</v>
      </c>
      <c r="P597" s="4"/>
      <c r="Q597" s="4"/>
      <c r="R597" s="4"/>
      <c r="S597" s="4"/>
      <c r="T597" s="4"/>
      <c r="U597" s="4"/>
      <c r="V597" s="4"/>
      <c r="W597" s="4">
        <v>0</v>
      </c>
      <c r="X597" s="4">
        <v>1</v>
      </c>
      <c r="Y597" s="4">
        <v>0</v>
      </c>
      <c r="Z597" s="4"/>
      <c r="AA597" s="4"/>
      <c r="AB597" s="4"/>
    </row>
    <row r="598" spans="1:245" x14ac:dyDescent="0.2">
      <c r="A598" s="4">
        <v>50</v>
      </c>
      <c r="B598" s="4">
        <v>0</v>
      </c>
      <c r="C598" s="4">
        <v>0</v>
      </c>
      <c r="D598" s="4">
        <v>1</v>
      </c>
      <c r="E598" s="4">
        <v>210</v>
      </c>
      <c r="F598" s="4">
        <f>ROUND(Source!X572,O598)</f>
        <v>1815.45</v>
      </c>
      <c r="G598" s="4" t="s">
        <v>146</v>
      </c>
      <c r="H598" s="4" t="s">
        <v>147</v>
      </c>
      <c r="I598" s="4"/>
      <c r="J598" s="4"/>
      <c r="K598" s="4">
        <v>210</v>
      </c>
      <c r="L598" s="4">
        <v>25</v>
      </c>
      <c r="M598" s="4">
        <v>3</v>
      </c>
      <c r="N598" s="4" t="s">
        <v>3</v>
      </c>
      <c r="O598" s="4">
        <v>2</v>
      </c>
      <c r="P598" s="4"/>
      <c r="Q598" s="4"/>
      <c r="R598" s="4"/>
      <c r="S598" s="4"/>
      <c r="T598" s="4"/>
      <c r="U598" s="4"/>
      <c r="V598" s="4"/>
      <c r="W598" s="4">
        <v>1815.45</v>
      </c>
      <c r="X598" s="4">
        <v>1</v>
      </c>
      <c r="Y598" s="4">
        <v>1815.45</v>
      </c>
      <c r="Z598" s="4"/>
      <c r="AA598" s="4"/>
      <c r="AB598" s="4"/>
    </row>
    <row r="599" spans="1:245" x14ac:dyDescent="0.2">
      <c r="A599" s="4">
        <v>50</v>
      </c>
      <c r="B599" s="4">
        <v>0</v>
      </c>
      <c r="C599" s="4">
        <v>0</v>
      </c>
      <c r="D599" s="4">
        <v>1</v>
      </c>
      <c r="E599" s="4">
        <v>211</v>
      </c>
      <c r="F599" s="4">
        <f>ROUND(Source!Y572,O599)</f>
        <v>259.35000000000002</v>
      </c>
      <c r="G599" s="4" t="s">
        <v>148</v>
      </c>
      <c r="H599" s="4" t="s">
        <v>149</v>
      </c>
      <c r="I599" s="4"/>
      <c r="J599" s="4"/>
      <c r="K599" s="4">
        <v>211</v>
      </c>
      <c r="L599" s="4">
        <v>26</v>
      </c>
      <c r="M599" s="4">
        <v>3</v>
      </c>
      <c r="N599" s="4" t="s">
        <v>3</v>
      </c>
      <c r="O599" s="4">
        <v>2</v>
      </c>
      <c r="P599" s="4"/>
      <c r="Q599" s="4"/>
      <c r="R599" s="4"/>
      <c r="S599" s="4"/>
      <c r="T599" s="4"/>
      <c r="U599" s="4"/>
      <c r="V599" s="4"/>
      <c r="W599" s="4">
        <v>259.35000000000002</v>
      </c>
      <c r="X599" s="4">
        <v>1</v>
      </c>
      <c r="Y599" s="4">
        <v>259.35000000000002</v>
      </c>
      <c r="Z599" s="4"/>
      <c r="AA599" s="4"/>
      <c r="AB599" s="4"/>
    </row>
    <row r="600" spans="1:245" x14ac:dyDescent="0.2">
      <c r="A600" s="4">
        <v>50</v>
      </c>
      <c r="B600" s="4">
        <v>0</v>
      </c>
      <c r="C600" s="4">
        <v>0</v>
      </c>
      <c r="D600" s="4">
        <v>1</v>
      </c>
      <c r="E600" s="4">
        <v>224</v>
      </c>
      <c r="F600" s="4">
        <f>ROUND(Source!AR572,O600)</f>
        <v>4741.2</v>
      </c>
      <c r="G600" s="4" t="s">
        <v>150</v>
      </c>
      <c r="H600" s="4" t="s">
        <v>151</v>
      </c>
      <c r="I600" s="4"/>
      <c r="J600" s="4"/>
      <c r="K600" s="4">
        <v>224</v>
      </c>
      <c r="L600" s="4">
        <v>27</v>
      </c>
      <c r="M600" s="4">
        <v>3</v>
      </c>
      <c r="N600" s="4" t="s">
        <v>3</v>
      </c>
      <c r="O600" s="4">
        <v>2</v>
      </c>
      <c r="P600" s="4"/>
      <c r="Q600" s="4"/>
      <c r="R600" s="4"/>
      <c r="S600" s="4"/>
      <c r="T600" s="4"/>
      <c r="U600" s="4"/>
      <c r="V600" s="4"/>
      <c r="W600" s="4">
        <v>4741.2</v>
      </c>
      <c r="X600" s="4">
        <v>1</v>
      </c>
      <c r="Y600" s="4">
        <v>4741.2</v>
      </c>
      <c r="Z600" s="4"/>
      <c r="AA600" s="4"/>
      <c r="AB600" s="4"/>
    </row>
    <row r="602" spans="1:245" x14ac:dyDescent="0.2">
      <c r="A602" s="1">
        <v>5</v>
      </c>
      <c r="B602" s="1">
        <v>1</v>
      </c>
      <c r="C602" s="1"/>
      <c r="D602" s="1">
        <f>ROW(A616)</f>
        <v>616</v>
      </c>
      <c r="E602" s="1"/>
      <c r="F602" s="1" t="s">
        <v>14</v>
      </c>
      <c r="G602" s="1" t="s">
        <v>164</v>
      </c>
      <c r="H602" s="1" t="s">
        <v>3</v>
      </c>
      <c r="I602" s="1">
        <v>0</v>
      </c>
      <c r="J602" s="1"/>
      <c r="K602" s="1">
        <v>-1</v>
      </c>
      <c r="L602" s="1"/>
      <c r="M602" s="1" t="s">
        <v>3</v>
      </c>
      <c r="N602" s="1"/>
      <c r="O602" s="1"/>
      <c r="P602" s="1"/>
      <c r="Q602" s="1"/>
      <c r="R602" s="1"/>
      <c r="S602" s="1">
        <v>0</v>
      </c>
      <c r="T602" s="1"/>
      <c r="U602" s="1" t="s">
        <v>3</v>
      </c>
      <c r="V602" s="1">
        <v>0</v>
      </c>
      <c r="W602" s="1"/>
      <c r="X602" s="1"/>
      <c r="Y602" s="1"/>
      <c r="Z602" s="1"/>
      <c r="AA602" s="1"/>
      <c r="AB602" s="1" t="s">
        <v>3</v>
      </c>
      <c r="AC602" s="1" t="s">
        <v>3</v>
      </c>
      <c r="AD602" s="1" t="s">
        <v>3</v>
      </c>
      <c r="AE602" s="1" t="s">
        <v>3</v>
      </c>
      <c r="AF602" s="1" t="s">
        <v>3</v>
      </c>
      <c r="AG602" s="1" t="s">
        <v>3</v>
      </c>
      <c r="AH602" s="1"/>
      <c r="AI602" s="1"/>
      <c r="AJ602" s="1"/>
      <c r="AK602" s="1"/>
      <c r="AL602" s="1"/>
      <c r="AM602" s="1"/>
      <c r="AN602" s="1"/>
      <c r="AO602" s="1"/>
      <c r="AP602" s="1" t="s">
        <v>3</v>
      </c>
      <c r="AQ602" s="1" t="s">
        <v>3</v>
      </c>
      <c r="AR602" s="1" t="s">
        <v>3</v>
      </c>
      <c r="AS602" s="1"/>
      <c r="AT602" s="1"/>
      <c r="AU602" s="1"/>
      <c r="AV602" s="1"/>
      <c r="AW602" s="1"/>
      <c r="AX602" s="1"/>
      <c r="AY602" s="1"/>
      <c r="AZ602" s="1" t="s">
        <v>3</v>
      </c>
      <c r="BA602" s="1"/>
      <c r="BB602" s="1" t="s">
        <v>3</v>
      </c>
      <c r="BC602" s="1" t="s">
        <v>3</v>
      </c>
      <c r="BD602" s="1" t="s">
        <v>3</v>
      </c>
      <c r="BE602" s="1" t="s">
        <v>3</v>
      </c>
      <c r="BF602" s="1" t="s">
        <v>3</v>
      </c>
      <c r="BG602" s="1" t="s">
        <v>3</v>
      </c>
      <c r="BH602" s="1" t="s">
        <v>3</v>
      </c>
      <c r="BI602" s="1" t="s">
        <v>3</v>
      </c>
      <c r="BJ602" s="1" t="s">
        <v>3</v>
      </c>
      <c r="BK602" s="1" t="s">
        <v>3</v>
      </c>
      <c r="BL602" s="1" t="s">
        <v>3</v>
      </c>
      <c r="BM602" s="1" t="s">
        <v>3</v>
      </c>
      <c r="BN602" s="1" t="s">
        <v>3</v>
      </c>
      <c r="BO602" s="1" t="s">
        <v>3</v>
      </c>
      <c r="BP602" s="1" t="s">
        <v>3</v>
      </c>
      <c r="BQ602" s="1"/>
      <c r="BR602" s="1"/>
      <c r="BS602" s="1"/>
      <c r="BT602" s="1"/>
      <c r="BU602" s="1"/>
      <c r="BV602" s="1"/>
      <c r="BW602" s="1"/>
      <c r="BX602" s="1">
        <v>0</v>
      </c>
      <c r="BY602" s="1"/>
      <c r="BZ602" s="1"/>
      <c r="CA602" s="1"/>
      <c r="CB602" s="1"/>
      <c r="CC602" s="1"/>
      <c r="CD602" s="1"/>
      <c r="CE602" s="1"/>
      <c r="CF602" s="1"/>
      <c r="CG602" s="1"/>
      <c r="CH602" s="1"/>
      <c r="CI602" s="1"/>
      <c r="CJ602" s="1">
        <v>0</v>
      </c>
    </row>
    <row r="604" spans="1:245" x14ac:dyDescent="0.2">
      <c r="A604" s="2">
        <v>52</v>
      </c>
      <c r="B604" s="2">
        <f t="shared" ref="B604:G604" si="521">B616</f>
        <v>1</v>
      </c>
      <c r="C604" s="2">
        <f t="shared" si="521"/>
        <v>5</v>
      </c>
      <c r="D604" s="2">
        <f t="shared" si="521"/>
        <v>602</v>
      </c>
      <c r="E604" s="2">
        <f t="shared" si="521"/>
        <v>0</v>
      </c>
      <c r="F604" s="2" t="str">
        <f t="shared" si="521"/>
        <v>Новый подраздел</v>
      </c>
      <c r="G604" s="2" t="str">
        <f t="shared" si="521"/>
        <v>Вентиляция и кондиционирование</v>
      </c>
      <c r="H604" s="2"/>
      <c r="I604" s="2"/>
      <c r="J604" s="2"/>
      <c r="K604" s="2"/>
      <c r="L604" s="2"/>
      <c r="M604" s="2"/>
      <c r="N604" s="2"/>
      <c r="O604" s="2">
        <f t="shared" ref="O604:AT604" si="522">O616</f>
        <v>47359.7</v>
      </c>
      <c r="P604" s="2">
        <f t="shared" si="522"/>
        <v>16.8</v>
      </c>
      <c r="Q604" s="2">
        <f t="shared" si="522"/>
        <v>52.8</v>
      </c>
      <c r="R604" s="2">
        <f t="shared" si="522"/>
        <v>0.7</v>
      </c>
      <c r="S604" s="2">
        <f t="shared" si="522"/>
        <v>47290.1</v>
      </c>
      <c r="T604" s="2">
        <f t="shared" si="522"/>
        <v>0</v>
      </c>
      <c r="U604" s="2">
        <f t="shared" si="522"/>
        <v>74.2</v>
      </c>
      <c r="V604" s="2">
        <f t="shared" si="522"/>
        <v>0</v>
      </c>
      <c r="W604" s="2">
        <f t="shared" si="522"/>
        <v>0</v>
      </c>
      <c r="X604" s="2">
        <f t="shared" si="522"/>
        <v>33103.07</v>
      </c>
      <c r="Y604" s="2">
        <f t="shared" si="522"/>
        <v>4729.01</v>
      </c>
      <c r="Z604" s="2">
        <f t="shared" si="522"/>
        <v>0</v>
      </c>
      <c r="AA604" s="2">
        <f t="shared" si="522"/>
        <v>0</v>
      </c>
      <c r="AB604" s="2">
        <f t="shared" si="522"/>
        <v>47359.7</v>
      </c>
      <c r="AC604" s="2">
        <f t="shared" si="522"/>
        <v>16.8</v>
      </c>
      <c r="AD604" s="2">
        <f t="shared" si="522"/>
        <v>52.8</v>
      </c>
      <c r="AE604" s="2">
        <f t="shared" si="522"/>
        <v>0.7</v>
      </c>
      <c r="AF604" s="2">
        <f t="shared" si="522"/>
        <v>47290.1</v>
      </c>
      <c r="AG604" s="2">
        <f t="shared" si="522"/>
        <v>0</v>
      </c>
      <c r="AH604" s="2">
        <f t="shared" si="522"/>
        <v>74.2</v>
      </c>
      <c r="AI604" s="2">
        <f t="shared" si="522"/>
        <v>0</v>
      </c>
      <c r="AJ604" s="2">
        <f t="shared" si="522"/>
        <v>0</v>
      </c>
      <c r="AK604" s="2">
        <f t="shared" si="522"/>
        <v>33103.07</v>
      </c>
      <c r="AL604" s="2">
        <f t="shared" si="522"/>
        <v>4729.01</v>
      </c>
      <c r="AM604" s="2">
        <f t="shared" si="522"/>
        <v>0</v>
      </c>
      <c r="AN604" s="2">
        <f t="shared" si="522"/>
        <v>0</v>
      </c>
      <c r="AO604" s="2">
        <f t="shared" si="522"/>
        <v>0</v>
      </c>
      <c r="AP604" s="2">
        <f t="shared" si="522"/>
        <v>0</v>
      </c>
      <c r="AQ604" s="2">
        <f t="shared" si="522"/>
        <v>0</v>
      </c>
      <c r="AR604" s="2">
        <f t="shared" si="522"/>
        <v>85192.54</v>
      </c>
      <c r="AS604" s="2">
        <f t="shared" si="522"/>
        <v>0</v>
      </c>
      <c r="AT604" s="2">
        <f t="shared" si="522"/>
        <v>0</v>
      </c>
      <c r="AU604" s="2">
        <f t="shared" ref="AU604:BZ604" si="523">AU616</f>
        <v>85192.54</v>
      </c>
      <c r="AV604" s="2">
        <f t="shared" si="523"/>
        <v>16.8</v>
      </c>
      <c r="AW604" s="2">
        <f t="shared" si="523"/>
        <v>16.8</v>
      </c>
      <c r="AX604" s="2">
        <f t="shared" si="523"/>
        <v>0</v>
      </c>
      <c r="AY604" s="2">
        <f t="shared" si="523"/>
        <v>16.8</v>
      </c>
      <c r="AZ604" s="2">
        <f t="shared" si="523"/>
        <v>0</v>
      </c>
      <c r="BA604" s="2">
        <f t="shared" si="523"/>
        <v>0</v>
      </c>
      <c r="BB604" s="2">
        <f t="shared" si="523"/>
        <v>0</v>
      </c>
      <c r="BC604" s="2">
        <f t="shared" si="523"/>
        <v>0</v>
      </c>
      <c r="BD604" s="2">
        <f t="shared" si="523"/>
        <v>0</v>
      </c>
      <c r="BE604" s="2">
        <f t="shared" si="523"/>
        <v>0</v>
      </c>
      <c r="BF604" s="2">
        <f t="shared" si="523"/>
        <v>0</v>
      </c>
      <c r="BG604" s="2">
        <f t="shared" si="523"/>
        <v>0</v>
      </c>
      <c r="BH604" s="2">
        <f t="shared" si="523"/>
        <v>0</v>
      </c>
      <c r="BI604" s="2">
        <f t="shared" si="523"/>
        <v>0</v>
      </c>
      <c r="BJ604" s="2">
        <f t="shared" si="523"/>
        <v>0</v>
      </c>
      <c r="BK604" s="2">
        <f t="shared" si="523"/>
        <v>0</v>
      </c>
      <c r="BL604" s="2">
        <f t="shared" si="523"/>
        <v>0</v>
      </c>
      <c r="BM604" s="2">
        <f t="shared" si="523"/>
        <v>0</v>
      </c>
      <c r="BN604" s="2">
        <f t="shared" si="523"/>
        <v>0</v>
      </c>
      <c r="BO604" s="2">
        <f t="shared" si="523"/>
        <v>0</v>
      </c>
      <c r="BP604" s="2">
        <f t="shared" si="523"/>
        <v>0</v>
      </c>
      <c r="BQ604" s="2">
        <f t="shared" si="523"/>
        <v>0</v>
      </c>
      <c r="BR604" s="2">
        <f t="shared" si="523"/>
        <v>0</v>
      </c>
      <c r="BS604" s="2">
        <f t="shared" si="523"/>
        <v>0</v>
      </c>
      <c r="BT604" s="2">
        <f t="shared" si="523"/>
        <v>0</v>
      </c>
      <c r="BU604" s="2">
        <f t="shared" si="523"/>
        <v>0</v>
      </c>
      <c r="BV604" s="2">
        <f t="shared" si="523"/>
        <v>0</v>
      </c>
      <c r="BW604" s="2">
        <f t="shared" si="523"/>
        <v>0</v>
      </c>
      <c r="BX604" s="2">
        <f t="shared" si="523"/>
        <v>0</v>
      </c>
      <c r="BY604" s="2">
        <f t="shared" si="523"/>
        <v>0</v>
      </c>
      <c r="BZ604" s="2">
        <f t="shared" si="523"/>
        <v>0</v>
      </c>
      <c r="CA604" s="2">
        <f t="shared" ref="CA604:DF604" si="524">CA616</f>
        <v>85192.54</v>
      </c>
      <c r="CB604" s="2">
        <f t="shared" si="524"/>
        <v>0</v>
      </c>
      <c r="CC604" s="2">
        <f t="shared" si="524"/>
        <v>0</v>
      </c>
      <c r="CD604" s="2">
        <f t="shared" si="524"/>
        <v>85192.54</v>
      </c>
      <c r="CE604" s="2">
        <f t="shared" si="524"/>
        <v>16.8</v>
      </c>
      <c r="CF604" s="2">
        <f t="shared" si="524"/>
        <v>16.8</v>
      </c>
      <c r="CG604" s="2">
        <f t="shared" si="524"/>
        <v>0</v>
      </c>
      <c r="CH604" s="2">
        <f t="shared" si="524"/>
        <v>16.8</v>
      </c>
      <c r="CI604" s="2">
        <f t="shared" si="524"/>
        <v>0</v>
      </c>
      <c r="CJ604" s="2">
        <f t="shared" si="524"/>
        <v>0</v>
      </c>
      <c r="CK604" s="2">
        <f t="shared" si="524"/>
        <v>0</v>
      </c>
      <c r="CL604" s="2">
        <f t="shared" si="524"/>
        <v>0</v>
      </c>
      <c r="CM604" s="2">
        <f t="shared" si="524"/>
        <v>0</v>
      </c>
      <c r="CN604" s="2">
        <f t="shared" si="524"/>
        <v>0</v>
      </c>
      <c r="CO604" s="2">
        <f t="shared" si="524"/>
        <v>0</v>
      </c>
      <c r="CP604" s="2">
        <f t="shared" si="524"/>
        <v>0</v>
      </c>
      <c r="CQ604" s="2">
        <f t="shared" si="524"/>
        <v>0</v>
      </c>
      <c r="CR604" s="2">
        <f t="shared" si="524"/>
        <v>0</v>
      </c>
      <c r="CS604" s="2">
        <f t="shared" si="524"/>
        <v>0</v>
      </c>
      <c r="CT604" s="2">
        <f t="shared" si="524"/>
        <v>0</v>
      </c>
      <c r="CU604" s="2">
        <f t="shared" si="524"/>
        <v>0</v>
      </c>
      <c r="CV604" s="2">
        <f t="shared" si="524"/>
        <v>0</v>
      </c>
      <c r="CW604" s="2">
        <f t="shared" si="524"/>
        <v>0</v>
      </c>
      <c r="CX604" s="2">
        <f t="shared" si="524"/>
        <v>0</v>
      </c>
      <c r="CY604" s="2">
        <f t="shared" si="524"/>
        <v>0</v>
      </c>
      <c r="CZ604" s="2">
        <f t="shared" si="524"/>
        <v>0</v>
      </c>
      <c r="DA604" s="2">
        <f t="shared" si="524"/>
        <v>0</v>
      </c>
      <c r="DB604" s="2">
        <f t="shared" si="524"/>
        <v>0</v>
      </c>
      <c r="DC604" s="2">
        <f t="shared" si="524"/>
        <v>0</v>
      </c>
      <c r="DD604" s="2">
        <f t="shared" si="524"/>
        <v>0</v>
      </c>
      <c r="DE604" s="2">
        <f t="shared" si="524"/>
        <v>0</v>
      </c>
      <c r="DF604" s="2">
        <f t="shared" si="524"/>
        <v>0</v>
      </c>
      <c r="DG604" s="3">
        <f t="shared" ref="DG604:EL604" si="525">DG616</f>
        <v>0</v>
      </c>
      <c r="DH604" s="3">
        <f t="shared" si="525"/>
        <v>0</v>
      </c>
      <c r="DI604" s="3">
        <f t="shared" si="525"/>
        <v>0</v>
      </c>
      <c r="DJ604" s="3">
        <f t="shared" si="525"/>
        <v>0</v>
      </c>
      <c r="DK604" s="3">
        <f t="shared" si="525"/>
        <v>0</v>
      </c>
      <c r="DL604" s="3">
        <f t="shared" si="525"/>
        <v>0</v>
      </c>
      <c r="DM604" s="3">
        <f t="shared" si="525"/>
        <v>0</v>
      </c>
      <c r="DN604" s="3">
        <f t="shared" si="525"/>
        <v>0</v>
      </c>
      <c r="DO604" s="3">
        <f t="shared" si="525"/>
        <v>0</v>
      </c>
      <c r="DP604" s="3">
        <f t="shared" si="525"/>
        <v>0</v>
      </c>
      <c r="DQ604" s="3">
        <f t="shared" si="525"/>
        <v>0</v>
      </c>
      <c r="DR604" s="3">
        <f t="shared" si="525"/>
        <v>0</v>
      </c>
      <c r="DS604" s="3">
        <f t="shared" si="525"/>
        <v>0</v>
      </c>
      <c r="DT604" s="3">
        <f t="shared" si="525"/>
        <v>0</v>
      </c>
      <c r="DU604" s="3">
        <f t="shared" si="525"/>
        <v>0</v>
      </c>
      <c r="DV604" s="3">
        <f t="shared" si="525"/>
        <v>0</v>
      </c>
      <c r="DW604" s="3">
        <f t="shared" si="525"/>
        <v>0</v>
      </c>
      <c r="DX604" s="3">
        <f t="shared" si="525"/>
        <v>0</v>
      </c>
      <c r="DY604" s="3">
        <f t="shared" si="525"/>
        <v>0</v>
      </c>
      <c r="DZ604" s="3">
        <f t="shared" si="525"/>
        <v>0</v>
      </c>
      <c r="EA604" s="3">
        <f t="shared" si="525"/>
        <v>0</v>
      </c>
      <c r="EB604" s="3">
        <f t="shared" si="525"/>
        <v>0</v>
      </c>
      <c r="EC604" s="3">
        <f t="shared" si="525"/>
        <v>0</v>
      </c>
      <c r="ED604" s="3">
        <f t="shared" si="525"/>
        <v>0</v>
      </c>
      <c r="EE604" s="3">
        <f t="shared" si="525"/>
        <v>0</v>
      </c>
      <c r="EF604" s="3">
        <f t="shared" si="525"/>
        <v>0</v>
      </c>
      <c r="EG604" s="3">
        <f t="shared" si="525"/>
        <v>0</v>
      </c>
      <c r="EH604" s="3">
        <f t="shared" si="525"/>
        <v>0</v>
      </c>
      <c r="EI604" s="3">
        <f t="shared" si="525"/>
        <v>0</v>
      </c>
      <c r="EJ604" s="3">
        <f t="shared" si="525"/>
        <v>0</v>
      </c>
      <c r="EK604" s="3">
        <f t="shared" si="525"/>
        <v>0</v>
      </c>
      <c r="EL604" s="3">
        <f t="shared" si="525"/>
        <v>0</v>
      </c>
      <c r="EM604" s="3">
        <f t="shared" ref="EM604:FR604" si="526">EM616</f>
        <v>0</v>
      </c>
      <c r="EN604" s="3">
        <f t="shared" si="526"/>
        <v>0</v>
      </c>
      <c r="EO604" s="3">
        <f t="shared" si="526"/>
        <v>0</v>
      </c>
      <c r="EP604" s="3">
        <f t="shared" si="526"/>
        <v>0</v>
      </c>
      <c r="EQ604" s="3">
        <f t="shared" si="526"/>
        <v>0</v>
      </c>
      <c r="ER604" s="3">
        <f t="shared" si="526"/>
        <v>0</v>
      </c>
      <c r="ES604" s="3">
        <f t="shared" si="526"/>
        <v>0</v>
      </c>
      <c r="ET604" s="3">
        <f t="shared" si="526"/>
        <v>0</v>
      </c>
      <c r="EU604" s="3">
        <f t="shared" si="526"/>
        <v>0</v>
      </c>
      <c r="EV604" s="3">
        <f t="shared" si="526"/>
        <v>0</v>
      </c>
      <c r="EW604" s="3">
        <f t="shared" si="526"/>
        <v>0</v>
      </c>
      <c r="EX604" s="3">
        <f t="shared" si="526"/>
        <v>0</v>
      </c>
      <c r="EY604" s="3">
        <f t="shared" si="526"/>
        <v>0</v>
      </c>
      <c r="EZ604" s="3">
        <f t="shared" si="526"/>
        <v>0</v>
      </c>
      <c r="FA604" s="3">
        <f t="shared" si="526"/>
        <v>0</v>
      </c>
      <c r="FB604" s="3">
        <f t="shared" si="526"/>
        <v>0</v>
      </c>
      <c r="FC604" s="3">
        <f t="shared" si="526"/>
        <v>0</v>
      </c>
      <c r="FD604" s="3">
        <f t="shared" si="526"/>
        <v>0</v>
      </c>
      <c r="FE604" s="3">
        <f t="shared" si="526"/>
        <v>0</v>
      </c>
      <c r="FF604" s="3">
        <f t="shared" si="526"/>
        <v>0</v>
      </c>
      <c r="FG604" s="3">
        <f t="shared" si="526"/>
        <v>0</v>
      </c>
      <c r="FH604" s="3">
        <f t="shared" si="526"/>
        <v>0</v>
      </c>
      <c r="FI604" s="3">
        <f t="shared" si="526"/>
        <v>0</v>
      </c>
      <c r="FJ604" s="3">
        <f t="shared" si="526"/>
        <v>0</v>
      </c>
      <c r="FK604" s="3">
        <f t="shared" si="526"/>
        <v>0</v>
      </c>
      <c r="FL604" s="3">
        <f t="shared" si="526"/>
        <v>0</v>
      </c>
      <c r="FM604" s="3">
        <f t="shared" si="526"/>
        <v>0</v>
      </c>
      <c r="FN604" s="3">
        <f t="shared" si="526"/>
        <v>0</v>
      </c>
      <c r="FO604" s="3">
        <f t="shared" si="526"/>
        <v>0</v>
      </c>
      <c r="FP604" s="3">
        <f t="shared" si="526"/>
        <v>0</v>
      </c>
      <c r="FQ604" s="3">
        <f t="shared" si="526"/>
        <v>0</v>
      </c>
      <c r="FR604" s="3">
        <f t="shared" si="526"/>
        <v>0</v>
      </c>
      <c r="FS604" s="3">
        <f t="shared" ref="FS604:GX604" si="527">FS616</f>
        <v>0</v>
      </c>
      <c r="FT604" s="3">
        <f t="shared" si="527"/>
        <v>0</v>
      </c>
      <c r="FU604" s="3">
        <f t="shared" si="527"/>
        <v>0</v>
      </c>
      <c r="FV604" s="3">
        <f t="shared" si="527"/>
        <v>0</v>
      </c>
      <c r="FW604" s="3">
        <f t="shared" si="527"/>
        <v>0</v>
      </c>
      <c r="FX604" s="3">
        <f t="shared" si="527"/>
        <v>0</v>
      </c>
      <c r="FY604" s="3">
        <f t="shared" si="527"/>
        <v>0</v>
      </c>
      <c r="FZ604" s="3">
        <f t="shared" si="527"/>
        <v>0</v>
      </c>
      <c r="GA604" s="3">
        <f t="shared" si="527"/>
        <v>0</v>
      </c>
      <c r="GB604" s="3">
        <f t="shared" si="527"/>
        <v>0</v>
      </c>
      <c r="GC604" s="3">
        <f t="shared" si="527"/>
        <v>0</v>
      </c>
      <c r="GD604" s="3">
        <f t="shared" si="527"/>
        <v>0</v>
      </c>
      <c r="GE604" s="3">
        <f t="shared" si="527"/>
        <v>0</v>
      </c>
      <c r="GF604" s="3">
        <f t="shared" si="527"/>
        <v>0</v>
      </c>
      <c r="GG604" s="3">
        <f t="shared" si="527"/>
        <v>0</v>
      </c>
      <c r="GH604" s="3">
        <f t="shared" si="527"/>
        <v>0</v>
      </c>
      <c r="GI604" s="3">
        <f t="shared" si="527"/>
        <v>0</v>
      </c>
      <c r="GJ604" s="3">
        <f t="shared" si="527"/>
        <v>0</v>
      </c>
      <c r="GK604" s="3">
        <f t="shared" si="527"/>
        <v>0</v>
      </c>
      <c r="GL604" s="3">
        <f t="shared" si="527"/>
        <v>0</v>
      </c>
      <c r="GM604" s="3">
        <f t="shared" si="527"/>
        <v>0</v>
      </c>
      <c r="GN604" s="3">
        <f t="shared" si="527"/>
        <v>0</v>
      </c>
      <c r="GO604" s="3">
        <f t="shared" si="527"/>
        <v>0</v>
      </c>
      <c r="GP604" s="3">
        <f t="shared" si="527"/>
        <v>0</v>
      </c>
      <c r="GQ604" s="3">
        <f t="shared" si="527"/>
        <v>0</v>
      </c>
      <c r="GR604" s="3">
        <f t="shared" si="527"/>
        <v>0</v>
      </c>
      <c r="GS604" s="3">
        <f t="shared" si="527"/>
        <v>0</v>
      </c>
      <c r="GT604" s="3">
        <f t="shared" si="527"/>
        <v>0</v>
      </c>
      <c r="GU604" s="3">
        <f t="shared" si="527"/>
        <v>0</v>
      </c>
      <c r="GV604" s="3">
        <f t="shared" si="527"/>
        <v>0</v>
      </c>
      <c r="GW604" s="3">
        <f t="shared" si="527"/>
        <v>0</v>
      </c>
      <c r="GX604" s="3">
        <f t="shared" si="527"/>
        <v>0</v>
      </c>
    </row>
    <row r="606" spans="1:245" x14ac:dyDescent="0.2">
      <c r="A606">
        <v>17</v>
      </c>
      <c r="B606">
        <v>1</v>
      </c>
      <c r="D606">
        <f>ROW(EtalonRes!A324)</f>
        <v>324</v>
      </c>
      <c r="E606" t="s">
        <v>3</v>
      </c>
      <c r="F606" t="s">
        <v>165</v>
      </c>
      <c r="G606" t="s">
        <v>166</v>
      </c>
      <c r="H606" t="s">
        <v>36</v>
      </c>
      <c r="I606">
        <f t="shared" ref="I606:I612" si="528">ROUND(1*10,9)</f>
        <v>10</v>
      </c>
      <c r="J606">
        <v>0</v>
      </c>
      <c r="K606">
        <f t="shared" ref="K606:K612" si="529">ROUND(1*10,9)</f>
        <v>10</v>
      </c>
      <c r="O606">
        <f t="shared" ref="O606:O614" si="530">ROUND(CP606,2)</f>
        <v>12164.8</v>
      </c>
      <c r="P606">
        <f t="shared" ref="P606:P614" si="531">ROUND(CQ606*I606,2)</f>
        <v>0</v>
      </c>
      <c r="Q606">
        <f t="shared" ref="Q606:Q614" si="532">ROUND(CR606*I606,2)</f>
        <v>0</v>
      </c>
      <c r="R606">
        <f t="shared" ref="R606:R614" si="533">ROUND(CS606*I606,2)</f>
        <v>0</v>
      </c>
      <c r="S606">
        <f t="shared" ref="S606:S614" si="534">ROUND(CT606*I606,2)</f>
        <v>12164.8</v>
      </c>
      <c r="T606">
        <f t="shared" ref="T606:T614" si="535">ROUND(CU606*I606,2)</f>
        <v>0</v>
      </c>
      <c r="U606">
        <f t="shared" ref="U606:U614" si="536">CV606*I606</f>
        <v>20</v>
      </c>
      <c r="V606">
        <f t="shared" ref="V606:V614" si="537">CW606*I606</f>
        <v>0</v>
      </c>
      <c r="W606">
        <f t="shared" ref="W606:W614" si="538">ROUND(CX606*I606,2)</f>
        <v>0</v>
      </c>
      <c r="X606">
        <f t="shared" ref="X606:X614" si="539">ROUND(CY606,2)</f>
        <v>8515.36</v>
      </c>
      <c r="Y606">
        <f t="shared" ref="Y606:Y614" si="540">ROUND(CZ606,2)</f>
        <v>1216.48</v>
      </c>
      <c r="AA606">
        <v>-1</v>
      </c>
      <c r="AB606">
        <f t="shared" ref="AB606:AB614" si="541">ROUND((AC606+AD606+AF606),6)</f>
        <v>1216.48</v>
      </c>
      <c r="AC606">
        <f>ROUND(((ES606*4)),6)</f>
        <v>0</v>
      </c>
      <c r="AD606">
        <f>ROUND(((((ET606*4))-((EU606*4)))+AE606),6)</f>
        <v>0</v>
      </c>
      <c r="AE606">
        <f>ROUND(((EU606*4)),6)</f>
        <v>0</v>
      </c>
      <c r="AF606">
        <f>ROUND(((EV606*4)),6)</f>
        <v>1216.48</v>
      </c>
      <c r="AG606">
        <f t="shared" ref="AG606:AG614" si="542">ROUND((AP606),6)</f>
        <v>0</v>
      </c>
      <c r="AH606">
        <f>((EW606*4))</f>
        <v>2</v>
      </c>
      <c r="AI606">
        <f>((EX606*4))</f>
        <v>0</v>
      </c>
      <c r="AJ606">
        <f t="shared" ref="AJ606:AJ614" si="543">(AS606)</f>
        <v>0</v>
      </c>
      <c r="AK606">
        <v>304.12</v>
      </c>
      <c r="AL606">
        <v>0</v>
      </c>
      <c r="AM606">
        <v>0</v>
      </c>
      <c r="AN606">
        <v>0</v>
      </c>
      <c r="AO606">
        <v>304.12</v>
      </c>
      <c r="AP606">
        <v>0</v>
      </c>
      <c r="AQ606">
        <v>0.5</v>
      </c>
      <c r="AR606">
        <v>0</v>
      </c>
      <c r="AS606">
        <v>0</v>
      </c>
      <c r="AT606">
        <v>70</v>
      </c>
      <c r="AU606">
        <v>10</v>
      </c>
      <c r="AV606">
        <v>1</v>
      </c>
      <c r="AW606">
        <v>1</v>
      </c>
      <c r="AZ606">
        <v>1</v>
      </c>
      <c r="BA606">
        <v>1</v>
      </c>
      <c r="BB606">
        <v>1</v>
      </c>
      <c r="BC606">
        <v>1</v>
      </c>
      <c r="BD606" t="s">
        <v>3</v>
      </c>
      <c r="BE606" t="s">
        <v>3</v>
      </c>
      <c r="BF606" t="s">
        <v>3</v>
      </c>
      <c r="BG606" t="s">
        <v>3</v>
      </c>
      <c r="BH606">
        <v>0</v>
      </c>
      <c r="BI606">
        <v>4</v>
      </c>
      <c r="BJ606" t="s">
        <v>167</v>
      </c>
      <c r="BM606">
        <v>0</v>
      </c>
      <c r="BN606">
        <v>0</v>
      </c>
      <c r="BO606" t="s">
        <v>3</v>
      </c>
      <c r="BP606">
        <v>0</v>
      </c>
      <c r="BQ606">
        <v>1</v>
      </c>
      <c r="BR606">
        <v>0</v>
      </c>
      <c r="BS606">
        <v>1</v>
      </c>
      <c r="BT606">
        <v>1</v>
      </c>
      <c r="BU606">
        <v>1</v>
      </c>
      <c r="BV606">
        <v>1</v>
      </c>
      <c r="BW606">
        <v>1</v>
      </c>
      <c r="BX606">
        <v>1</v>
      </c>
      <c r="BY606" t="s">
        <v>3</v>
      </c>
      <c r="BZ606">
        <v>70</v>
      </c>
      <c r="CA606">
        <v>10</v>
      </c>
      <c r="CB606" t="s">
        <v>3</v>
      </c>
      <c r="CE606">
        <v>0</v>
      </c>
      <c r="CF606">
        <v>0</v>
      </c>
      <c r="CG606">
        <v>0</v>
      </c>
      <c r="CM606">
        <v>0</v>
      </c>
      <c r="CN606" t="s">
        <v>3</v>
      </c>
      <c r="CO606">
        <v>0</v>
      </c>
      <c r="CP606">
        <f t="shared" ref="CP606:CP614" si="544">(P606+Q606+S606)</f>
        <v>12164.8</v>
      </c>
      <c r="CQ606">
        <f t="shared" ref="CQ606:CQ614" si="545">(AC606*BC606*AW606)</f>
        <v>0</v>
      </c>
      <c r="CR606">
        <f>(((((ET606*4))*BB606-((EU606*4))*BS606)+AE606*BS606)*AV606)</f>
        <v>0</v>
      </c>
      <c r="CS606">
        <f t="shared" ref="CS606:CS614" si="546">(AE606*BS606*AV606)</f>
        <v>0</v>
      </c>
      <c r="CT606">
        <f t="shared" ref="CT606:CT614" si="547">(AF606*BA606*AV606)</f>
        <v>1216.48</v>
      </c>
      <c r="CU606">
        <f t="shared" ref="CU606:CU614" si="548">AG606</f>
        <v>0</v>
      </c>
      <c r="CV606">
        <f t="shared" ref="CV606:CV614" si="549">(AH606*AV606)</f>
        <v>2</v>
      </c>
      <c r="CW606">
        <f t="shared" ref="CW606:CW614" si="550">AI606</f>
        <v>0</v>
      </c>
      <c r="CX606">
        <f t="shared" ref="CX606:CX614" si="551">AJ606</f>
        <v>0</v>
      </c>
      <c r="CY606">
        <f t="shared" ref="CY606:CY614" si="552">((S606*BZ606)/100)</f>
        <v>8515.36</v>
      </c>
      <c r="CZ606">
        <f t="shared" ref="CZ606:CZ614" si="553">((S606*CA606)/100)</f>
        <v>1216.48</v>
      </c>
      <c r="DC606" t="s">
        <v>3</v>
      </c>
      <c r="DD606" t="s">
        <v>20</v>
      </c>
      <c r="DE606" t="s">
        <v>20</v>
      </c>
      <c r="DF606" t="s">
        <v>20</v>
      </c>
      <c r="DG606" t="s">
        <v>20</v>
      </c>
      <c r="DH606" t="s">
        <v>3</v>
      </c>
      <c r="DI606" t="s">
        <v>20</v>
      </c>
      <c r="DJ606" t="s">
        <v>20</v>
      </c>
      <c r="DK606" t="s">
        <v>3</v>
      </c>
      <c r="DL606" t="s">
        <v>3</v>
      </c>
      <c r="DM606" t="s">
        <v>3</v>
      </c>
      <c r="DN606">
        <v>0</v>
      </c>
      <c r="DO606">
        <v>0</v>
      </c>
      <c r="DP606">
        <v>1</v>
      </c>
      <c r="DQ606">
        <v>1</v>
      </c>
      <c r="DU606">
        <v>16987630</v>
      </c>
      <c r="DV606" t="s">
        <v>36</v>
      </c>
      <c r="DW606" t="s">
        <v>36</v>
      </c>
      <c r="DX606">
        <v>1</v>
      </c>
      <c r="DZ606" t="s">
        <v>3</v>
      </c>
      <c r="EA606" t="s">
        <v>3</v>
      </c>
      <c r="EB606" t="s">
        <v>3</v>
      </c>
      <c r="EC606" t="s">
        <v>3</v>
      </c>
      <c r="EE606">
        <v>1441815344</v>
      </c>
      <c r="EF606">
        <v>1</v>
      </c>
      <c r="EG606" t="s">
        <v>21</v>
      </c>
      <c r="EH606">
        <v>0</v>
      </c>
      <c r="EI606" t="s">
        <v>3</v>
      </c>
      <c r="EJ606">
        <v>4</v>
      </c>
      <c r="EK606">
        <v>0</v>
      </c>
      <c r="EL606" t="s">
        <v>22</v>
      </c>
      <c r="EM606" t="s">
        <v>23</v>
      </c>
      <c r="EO606" t="s">
        <v>3</v>
      </c>
      <c r="EQ606">
        <v>1024</v>
      </c>
      <c r="ER606">
        <v>304.12</v>
      </c>
      <c r="ES606">
        <v>0</v>
      </c>
      <c r="ET606">
        <v>0</v>
      </c>
      <c r="EU606">
        <v>0</v>
      </c>
      <c r="EV606">
        <v>304.12</v>
      </c>
      <c r="EW606">
        <v>0.5</v>
      </c>
      <c r="EX606">
        <v>0</v>
      </c>
      <c r="EY606">
        <v>0</v>
      </c>
      <c r="FQ606">
        <v>0</v>
      </c>
      <c r="FR606">
        <f t="shared" ref="FR606:FR614" si="554">ROUND(IF(BI606=3,GM606,0),2)</f>
        <v>0</v>
      </c>
      <c r="FS606">
        <v>0</v>
      </c>
      <c r="FX606">
        <v>70</v>
      </c>
      <c r="FY606">
        <v>10</v>
      </c>
      <c r="GA606" t="s">
        <v>3</v>
      </c>
      <c r="GD606">
        <v>0</v>
      </c>
      <c r="GF606">
        <v>-964383457</v>
      </c>
      <c r="GG606">
        <v>2</v>
      </c>
      <c r="GH606">
        <v>1</v>
      </c>
      <c r="GI606">
        <v>-2</v>
      </c>
      <c r="GJ606">
        <v>0</v>
      </c>
      <c r="GK606">
        <f>ROUND(R606*(R12)/100,2)</f>
        <v>0</v>
      </c>
      <c r="GL606">
        <f t="shared" ref="GL606:GL614" si="555">ROUND(IF(AND(BH606=3,BI606=3,FS606&lt;&gt;0),P606,0),2)</f>
        <v>0</v>
      </c>
      <c r="GM606">
        <f t="shared" ref="GM606:GM614" si="556">ROUND(O606+X606+Y606+GK606,2)+GX606</f>
        <v>21896.639999999999</v>
      </c>
      <c r="GN606">
        <f t="shared" ref="GN606:GN614" si="557">IF(OR(BI606=0,BI606=1),GM606-GX606,0)</f>
        <v>0</v>
      </c>
      <c r="GO606">
        <f t="shared" ref="GO606:GO614" si="558">IF(BI606=2,GM606-GX606,0)</f>
        <v>0</v>
      </c>
      <c r="GP606">
        <f t="shared" ref="GP606:GP614" si="559">IF(BI606=4,GM606-GX606,0)</f>
        <v>21896.639999999999</v>
      </c>
      <c r="GR606">
        <v>0</v>
      </c>
      <c r="GS606">
        <v>3</v>
      </c>
      <c r="GT606">
        <v>0</v>
      </c>
      <c r="GU606" t="s">
        <v>3</v>
      </c>
      <c r="GV606">
        <f t="shared" ref="GV606:GV614" si="560">ROUND((GT606),6)</f>
        <v>0</v>
      </c>
      <c r="GW606">
        <v>1</v>
      </c>
      <c r="GX606">
        <f t="shared" ref="GX606:GX614" si="561">ROUND(HC606*I606,2)</f>
        <v>0</v>
      </c>
      <c r="HA606">
        <v>0</v>
      </c>
      <c r="HB606">
        <v>0</v>
      </c>
      <c r="HC606">
        <f t="shared" ref="HC606:HC614" si="562">GV606*GW606</f>
        <v>0</v>
      </c>
      <c r="HE606" t="s">
        <v>3</v>
      </c>
      <c r="HF606" t="s">
        <v>3</v>
      </c>
      <c r="HM606" t="s">
        <v>3</v>
      </c>
      <c r="HN606" t="s">
        <v>3</v>
      </c>
      <c r="HO606" t="s">
        <v>3</v>
      </c>
      <c r="HP606" t="s">
        <v>3</v>
      </c>
      <c r="HQ606" t="s">
        <v>3</v>
      </c>
      <c r="IK606">
        <v>0</v>
      </c>
    </row>
    <row r="607" spans="1:245" x14ac:dyDescent="0.2">
      <c r="A607">
        <v>17</v>
      </c>
      <c r="B607">
        <v>1</v>
      </c>
      <c r="D607">
        <f>ROW(EtalonRes!A325)</f>
        <v>325</v>
      </c>
      <c r="E607" t="s">
        <v>371</v>
      </c>
      <c r="F607" t="s">
        <v>169</v>
      </c>
      <c r="G607" t="s">
        <v>170</v>
      </c>
      <c r="H607" t="s">
        <v>36</v>
      </c>
      <c r="I607">
        <f t="shared" si="528"/>
        <v>10</v>
      </c>
      <c r="J607">
        <v>0</v>
      </c>
      <c r="K607">
        <f t="shared" si="529"/>
        <v>10</v>
      </c>
      <c r="O607">
        <f t="shared" si="530"/>
        <v>21410.6</v>
      </c>
      <c r="P607">
        <f t="shared" si="531"/>
        <v>0</v>
      </c>
      <c r="Q607">
        <f t="shared" si="532"/>
        <v>0</v>
      </c>
      <c r="R607">
        <f t="shared" si="533"/>
        <v>0</v>
      </c>
      <c r="S607">
        <f t="shared" si="534"/>
        <v>21410.6</v>
      </c>
      <c r="T607">
        <f t="shared" si="535"/>
        <v>0</v>
      </c>
      <c r="U607">
        <f t="shared" si="536"/>
        <v>35.200000000000003</v>
      </c>
      <c r="V607">
        <f t="shared" si="537"/>
        <v>0</v>
      </c>
      <c r="W607">
        <f t="shared" si="538"/>
        <v>0</v>
      </c>
      <c r="X607">
        <f t="shared" si="539"/>
        <v>14987.42</v>
      </c>
      <c r="Y607">
        <f t="shared" si="540"/>
        <v>2141.06</v>
      </c>
      <c r="AA607">
        <v>1471718271</v>
      </c>
      <c r="AB607">
        <f t="shared" si="541"/>
        <v>2141.06</v>
      </c>
      <c r="AC607">
        <f>ROUND(((ES607*2)),6)</f>
        <v>0</v>
      </c>
      <c r="AD607">
        <f>ROUND(((((ET607*2))-((EU607*2)))+AE607),6)</f>
        <v>0</v>
      </c>
      <c r="AE607">
        <f>ROUND(((EU607*2)),6)</f>
        <v>0</v>
      </c>
      <c r="AF607">
        <f>ROUND(((EV607*2)),6)</f>
        <v>2141.06</v>
      </c>
      <c r="AG607">
        <f t="shared" si="542"/>
        <v>0</v>
      </c>
      <c r="AH607">
        <f>((EW607*2))</f>
        <v>3.52</v>
      </c>
      <c r="AI607">
        <f>((EX607*2))</f>
        <v>0</v>
      </c>
      <c r="AJ607">
        <f t="shared" si="543"/>
        <v>0</v>
      </c>
      <c r="AK607">
        <v>1070.53</v>
      </c>
      <c r="AL607">
        <v>0</v>
      </c>
      <c r="AM607">
        <v>0</v>
      </c>
      <c r="AN607">
        <v>0</v>
      </c>
      <c r="AO607">
        <v>1070.53</v>
      </c>
      <c r="AP607">
        <v>0</v>
      </c>
      <c r="AQ607">
        <v>1.76</v>
      </c>
      <c r="AR607">
        <v>0</v>
      </c>
      <c r="AS607">
        <v>0</v>
      </c>
      <c r="AT607">
        <v>70</v>
      </c>
      <c r="AU607">
        <v>10</v>
      </c>
      <c r="AV607">
        <v>1</v>
      </c>
      <c r="AW607">
        <v>1</v>
      </c>
      <c r="AZ607">
        <v>1</v>
      </c>
      <c r="BA607">
        <v>1</v>
      </c>
      <c r="BB607">
        <v>1</v>
      </c>
      <c r="BC607">
        <v>1</v>
      </c>
      <c r="BD607" t="s">
        <v>3</v>
      </c>
      <c r="BE607" t="s">
        <v>3</v>
      </c>
      <c r="BF607" t="s">
        <v>3</v>
      </c>
      <c r="BG607" t="s">
        <v>3</v>
      </c>
      <c r="BH607">
        <v>0</v>
      </c>
      <c r="BI607">
        <v>4</v>
      </c>
      <c r="BJ607" t="s">
        <v>171</v>
      </c>
      <c r="BM607">
        <v>0</v>
      </c>
      <c r="BN607">
        <v>0</v>
      </c>
      <c r="BO607" t="s">
        <v>3</v>
      </c>
      <c r="BP607">
        <v>0</v>
      </c>
      <c r="BQ607">
        <v>1</v>
      </c>
      <c r="BR607">
        <v>0</v>
      </c>
      <c r="BS607">
        <v>1</v>
      </c>
      <c r="BT607">
        <v>1</v>
      </c>
      <c r="BU607">
        <v>1</v>
      </c>
      <c r="BV607">
        <v>1</v>
      </c>
      <c r="BW607">
        <v>1</v>
      </c>
      <c r="BX607">
        <v>1</v>
      </c>
      <c r="BY607" t="s">
        <v>3</v>
      </c>
      <c r="BZ607">
        <v>70</v>
      </c>
      <c r="CA607">
        <v>10</v>
      </c>
      <c r="CB607" t="s">
        <v>3</v>
      </c>
      <c r="CE607">
        <v>0</v>
      </c>
      <c r="CF607">
        <v>0</v>
      </c>
      <c r="CG607">
        <v>0</v>
      </c>
      <c r="CM607">
        <v>0</v>
      </c>
      <c r="CN607" t="s">
        <v>3</v>
      </c>
      <c r="CO607">
        <v>0</v>
      </c>
      <c r="CP607">
        <f t="shared" si="544"/>
        <v>21410.6</v>
      </c>
      <c r="CQ607">
        <f t="shared" si="545"/>
        <v>0</v>
      </c>
      <c r="CR607">
        <f>(((((ET607*2))*BB607-((EU607*2))*BS607)+AE607*BS607)*AV607)</f>
        <v>0</v>
      </c>
      <c r="CS607">
        <f t="shared" si="546"/>
        <v>0</v>
      </c>
      <c r="CT607">
        <f t="shared" si="547"/>
        <v>2141.06</v>
      </c>
      <c r="CU607">
        <f t="shared" si="548"/>
        <v>0</v>
      </c>
      <c r="CV607">
        <f t="shared" si="549"/>
        <v>3.52</v>
      </c>
      <c r="CW607">
        <f t="shared" si="550"/>
        <v>0</v>
      </c>
      <c r="CX607">
        <f t="shared" si="551"/>
        <v>0</v>
      </c>
      <c r="CY607">
        <f t="shared" si="552"/>
        <v>14987.42</v>
      </c>
      <c r="CZ607">
        <f t="shared" si="553"/>
        <v>2141.06</v>
      </c>
      <c r="DC607" t="s">
        <v>3</v>
      </c>
      <c r="DD607" t="s">
        <v>42</v>
      </c>
      <c r="DE607" t="s">
        <v>42</v>
      </c>
      <c r="DF607" t="s">
        <v>42</v>
      </c>
      <c r="DG607" t="s">
        <v>42</v>
      </c>
      <c r="DH607" t="s">
        <v>3</v>
      </c>
      <c r="DI607" t="s">
        <v>42</v>
      </c>
      <c r="DJ607" t="s">
        <v>42</v>
      </c>
      <c r="DK607" t="s">
        <v>3</v>
      </c>
      <c r="DL607" t="s">
        <v>3</v>
      </c>
      <c r="DM607" t="s">
        <v>3</v>
      </c>
      <c r="DN607">
        <v>0</v>
      </c>
      <c r="DO607">
        <v>0</v>
      </c>
      <c r="DP607">
        <v>1</v>
      </c>
      <c r="DQ607">
        <v>1</v>
      </c>
      <c r="DU607">
        <v>16987630</v>
      </c>
      <c r="DV607" t="s">
        <v>36</v>
      </c>
      <c r="DW607" t="s">
        <v>36</v>
      </c>
      <c r="DX607">
        <v>1</v>
      </c>
      <c r="DZ607" t="s">
        <v>3</v>
      </c>
      <c r="EA607" t="s">
        <v>3</v>
      </c>
      <c r="EB607" t="s">
        <v>3</v>
      </c>
      <c r="EC607" t="s">
        <v>3</v>
      </c>
      <c r="EE607">
        <v>1441815344</v>
      </c>
      <c r="EF607">
        <v>1</v>
      </c>
      <c r="EG607" t="s">
        <v>21</v>
      </c>
      <c r="EH607">
        <v>0</v>
      </c>
      <c r="EI607" t="s">
        <v>3</v>
      </c>
      <c r="EJ607">
        <v>4</v>
      </c>
      <c r="EK607">
        <v>0</v>
      </c>
      <c r="EL607" t="s">
        <v>22</v>
      </c>
      <c r="EM607" t="s">
        <v>23</v>
      </c>
      <c r="EO607" t="s">
        <v>3</v>
      </c>
      <c r="EQ607">
        <v>0</v>
      </c>
      <c r="ER607">
        <v>1070.53</v>
      </c>
      <c r="ES607">
        <v>0</v>
      </c>
      <c r="ET607">
        <v>0</v>
      </c>
      <c r="EU607">
        <v>0</v>
      </c>
      <c r="EV607">
        <v>1070.53</v>
      </c>
      <c r="EW607">
        <v>1.76</v>
      </c>
      <c r="EX607">
        <v>0</v>
      </c>
      <c r="EY607">
        <v>0</v>
      </c>
      <c r="FQ607">
        <v>0</v>
      </c>
      <c r="FR607">
        <f t="shared" si="554"/>
        <v>0</v>
      </c>
      <c r="FS607">
        <v>0</v>
      </c>
      <c r="FX607">
        <v>70</v>
      </c>
      <c r="FY607">
        <v>10</v>
      </c>
      <c r="GA607" t="s">
        <v>3</v>
      </c>
      <c r="GD607">
        <v>0</v>
      </c>
      <c r="GF607">
        <v>-1392204801</v>
      </c>
      <c r="GG607">
        <v>2</v>
      </c>
      <c r="GH607">
        <v>1</v>
      </c>
      <c r="GI607">
        <v>-2</v>
      </c>
      <c r="GJ607">
        <v>0</v>
      </c>
      <c r="GK607">
        <f>ROUND(R607*(R12)/100,2)</f>
        <v>0</v>
      </c>
      <c r="GL607">
        <f t="shared" si="555"/>
        <v>0</v>
      </c>
      <c r="GM607">
        <f t="shared" si="556"/>
        <v>38539.08</v>
      </c>
      <c r="GN607">
        <f t="shared" si="557"/>
        <v>0</v>
      </c>
      <c r="GO607">
        <f t="shared" si="558"/>
        <v>0</v>
      </c>
      <c r="GP607">
        <f t="shared" si="559"/>
        <v>38539.08</v>
      </c>
      <c r="GR607">
        <v>0</v>
      </c>
      <c r="GS607">
        <v>3</v>
      </c>
      <c r="GT607">
        <v>0</v>
      </c>
      <c r="GU607" t="s">
        <v>3</v>
      </c>
      <c r="GV607">
        <f t="shared" si="560"/>
        <v>0</v>
      </c>
      <c r="GW607">
        <v>1</v>
      </c>
      <c r="GX607">
        <f t="shared" si="561"/>
        <v>0</v>
      </c>
      <c r="HA607">
        <v>0</v>
      </c>
      <c r="HB607">
        <v>0</v>
      </c>
      <c r="HC607">
        <f t="shared" si="562"/>
        <v>0</v>
      </c>
      <c r="HE607" t="s">
        <v>3</v>
      </c>
      <c r="HF607" t="s">
        <v>3</v>
      </c>
      <c r="HM607" t="s">
        <v>3</v>
      </c>
      <c r="HN607" t="s">
        <v>3</v>
      </c>
      <c r="HO607" t="s">
        <v>3</v>
      </c>
      <c r="HP607" t="s">
        <v>3</v>
      </c>
      <c r="HQ607" t="s">
        <v>3</v>
      </c>
      <c r="IK607">
        <v>0</v>
      </c>
    </row>
    <row r="608" spans="1:245" x14ac:dyDescent="0.2">
      <c r="A608">
        <v>17</v>
      </c>
      <c r="B608">
        <v>1</v>
      </c>
      <c r="D608">
        <f>ROW(EtalonRes!A328)</f>
        <v>328</v>
      </c>
      <c r="E608" t="s">
        <v>3</v>
      </c>
      <c r="F608" t="s">
        <v>172</v>
      </c>
      <c r="G608" t="s">
        <v>173</v>
      </c>
      <c r="H608" t="s">
        <v>36</v>
      </c>
      <c r="I608">
        <f t="shared" si="528"/>
        <v>10</v>
      </c>
      <c r="J608">
        <v>0</v>
      </c>
      <c r="K608">
        <f t="shared" si="529"/>
        <v>10</v>
      </c>
      <c r="O608">
        <f t="shared" si="530"/>
        <v>20612.2</v>
      </c>
      <c r="P608">
        <f t="shared" si="531"/>
        <v>53.1</v>
      </c>
      <c r="Q608">
        <f t="shared" si="532"/>
        <v>0</v>
      </c>
      <c r="R608">
        <f t="shared" si="533"/>
        <v>0</v>
      </c>
      <c r="S608">
        <f t="shared" si="534"/>
        <v>20559.099999999999</v>
      </c>
      <c r="T608">
        <f t="shared" si="535"/>
        <v>0</v>
      </c>
      <c r="U608">
        <f t="shared" si="536"/>
        <v>33.799999999999997</v>
      </c>
      <c r="V608">
        <f t="shared" si="537"/>
        <v>0</v>
      </c>
      <c r="W608">
        <f t="shared" si="538"/>
        <v>0</v>
      </c>
      <c r="X608">
        <f t="shared" si="539"/>
        <v>14391.37</v>
      </c>
      <c r="Y608">
        <f t="shared" si="540"/>
        <v>2055.91</v>
      </c>
      <c r="AA608">
        <v>-1</v>
      </c>
      <c r="AB608">
        <f t="shared" si="541"/>
        <v>2061.2199999999998</v>
      </c>
      <c r="AC608">
        <f>ROUND((ES608),6)</f>
        <v>5.31</v>
      </c>
      <c r="AD608">
        <f>ROUND((((ET608)-(EU608))+AE608),6)</f>
        <v>0</v>
      </c>
      <c r="AE608">
        <f>ROUND((EU608),6)</f>
        <v>0</v>
      </c>
      <c r="AF608">
        <f>ROUND((EV608),6)</f>
        <v>2055.91</v>
      </c>
      <c r="AG608">
        <f t="shared" si="542"/>
        <v>0</v>
      </c>
      <c r="AH608">
        <f>(EW608)</f>
        <v>3.38</v>
      </c>
      <c r="AI608">
        <f>(EX608)</f>
        <v>0</v>
      </c>
      <c r="AJ608">
        <f t="shared" si="543"/>
        <v>0</v>
      </c>
      <c r="AK608">
        <v>2061.2199999999998</v>
      </c>
      <c r="AL608">
        <v>5.31</v>
      </c>
      <c r="AM608">
        <v>0</v>
      </c>
      <c r="AN608">
        <v>0</v>
      </c>
      <c r="AO608">
        <v>2055.91</v>
      </c>
      <c r="AP608">
        <v>0</v>
      </c>
      <c r="AQ608">
        <v>3.38</v>
      </c>
      <c r="AR608">
        <v>0</v>
      </c>
      <c r="AS608">
        <v>0</v>
      </c>
      <c r="AT608">
        <v>70</v>
      </c>
      <c r="AU608">
        <v>10</v>
      </c>
      <c r="AV608">
        <v>1</v>
      </c>
      <c r="AW608">
        <v>1</v>
      </c>
      <c r="AZ608">
        <v>1</v>
      </c>
      <c r="BA608">
        <v>1</v>
      </c>
      <c r="BB608">
        <v>1</v>
      </c>
      <c r="BC608">
        <v>1</v>
      </c>
      <c r="BD608" t="s">
        <v>3</v>
      </c>
      <c r="BE608" t="s">
        <v>3</v>
      </c>
      <c r="BF608" t="s">
        <v>3</v>
      </c>
      <c r="BG608" t="s">
        <v>3</v>
      </c>
      <c r="BH608">
        <v>0</v>
      </c>
      <c r="BI608">
        <v>4</v>
      </c>
      <c r="BJ608" t="s">
        <v>174</v>
      </c>
      <c r="BM608">
        <v>0</v>
      </c>
      <c r="BN608">
        <v>0</v>
      </c>
      <c r="BO608" t="s">
        <v>3</v>
      </c>
      <c r="BP608">
        <v>0</v>
      </c>
      <c r="BQ608">
        <v>1</v>
      </c>
      <c r="BR608">
        <v>0</v>
      </c>
      <c r="BS608">
        <v>1</v>
      </c>
      <c r="BT608">
        <v>1</v>
      </c>
      <c r="BU608">
        <v>1</v>
      </c>
      <c r="BV608">
        <v>1</v>
      </c>
      <c r="BW608">
        <v>1</v>
      </c>
      <c r="BX608">
        <v>1</v>
      </c>
      <c r="BY608" t="s">
        <v>3</v>
      </c>
      <c r="BZ608">
        <v>70</v>
      </c>
      <c r="CA608">
        <v>10</v>
      </c>
      <c r="CB608" t="s">
        <v>3</v>
      </c>
      <c r="CE608">
        <v>0</v>
      </c>
      <c r="CF608">
        <v>0</v>
      </c>
      <c r="CG608">
        <v>0</v>
      </c>
      <c r="CM608">
        <v>0</v>
      </c>
      <c r="CN608" t="s">
        <v>3</v>
      </c>
      <c r="CO608">
        <v>0</v>
      </c>
      <c r="CP608">
        <f t="shared" si="544"/>
        <v>20612.199999999997</v>
      </c>
      <c r="CQ608">
        <f t="shared" si="545"/>
        <v>5.31</v>
      </c>
      <c r="CR608">
        <f>((((ET608)*BB608-(EU608)*BS608)+AE608*BS608)*AV608)</f>
        <v>0</v>
      </c>
      <c r="CS608">
        <f t="shared" si="546"/>
        <v>0</v>
      </c>
      <c r="CT608">
        <f t="shared" si="547"/>
        <v>2055.91</v>
      </c>
      <c r="CU608">
        <f t="shared" si="548"/>
        <v>0</v>
      </c>
      <c r="CV608">
        <f t="shared" si="549"/>
        <v>3.38</v>
      </c>
      <c r="CW608">
        <f t="shared" si="550"/>
        <v>0</v>
      </c>
      <c r="CX608">
        <f t="shared" si="551"/>
        <v>0</v>
      </c>
      <c r="CY608">
        <f t="shared" si="552"/>
        <v>14391.37</v>
      </c>
      <c r="CZ608">
        <f t="shared" si="553"/>
        <v>2055.91</v>
      </c>
      <c r="DC608" t="s">
        <v>3</v>
      </c>
      <c r="DD608" t="s">
        <v>3</v>
      </c>
      <c r="DE608" t="s">
        <v>3</v>
      </c>
      <c r="DF608" t="s">
        <v>3</v>
      </c>
      <c r="DG608" t="s">
        <v>3</v>
      </c>
      <c r="DH608" t="s">
        <v>3</v>
      </c>
      <c r="DI608" t="s">
        <v>3</v>
      </c>
      <c r="DJ608" t="s">
        <v>3</v>
      </c>
      <c r="DK608" t="s">
        <v>3</v>
      </c>
      <c r="DL608" t="s">
        <v>3</v>
      </c>
      <c r="DM608" t="s">
        <v>3</v>
      </c>
      <c r="DN608">
        <v>0</v>
      </c>
      <c r="DO608">
        <v>0</v>
      </c>
      <c r="DP608">
        <v>1</v>
      </c>
      <c r="DQ608">
        <v>1</v>
      </c>
      <c r="DU608">
        <v>16987630</v>
      </c>
      <c r="DV608" t="s">
        <v>36</v>
      </c>
      <c r="DW608" t="s">
        <v>36</v>
      </c>
      <c r="DX608">
        <v>1</v>
      </c>
      <c r="DZ608" t="s">
        <v>3</v>
      </c>
      <c r="EA608" t="s">
        <v>3</v>
      </c>
      <c r="EB608" t="s">
        <v>3</v>
      </c>
      <c r="EC608" t="s">
        <v>3</v>
      </c>
      <c r="EE608">
        <v>1441815344</v>
      </c>
      <c r="EF608">
        <v>1</v>
      </c>
      <c r="EG608" t="s">
        <v>21</v>
      </c>
      <c r="EH608">
        <v>0</v>
      </c>
      <c r="EI608" t="s">
        <v>3</v>
      </c>
      <c r="EJ608">
        <v>4</v>
      </c>
      <c r="EK608">
        <v>0</v>
      </c>
      <c r="EL608" t="s">
        <v>22</v>
      </c>
      <c r="EM608" t="s">
        <v>23</v>
      </c>
      <c r="EO608" t="s">
        <v>3</v>
      </c>
      <c r="EQ608">
        <v>1311744</v>
      </c>
      <c r="ER608">
        <v>2061.2199999999998</v>
      </c>
      <c r="ES608">
        <v>5.31</v>
      </c>
      <c r="ET608">
        <v>0</v>
      </c>
      <c r="EU608">
        <v>0</v>
      </c>
      <c r="EV608">
        <v>2055.91</v>
      </c>
      <c r="EW608">
        <v>3.38</v>
      </c>
      <c r="EX608">
        <v>0</v>
      </c>
      <c r="EY608">
        <v>0</v>
      </c>
      <c r="FQ608">
        <v>0</v>
      </c>
      <c r="FR608">
        <f t="shared" si="554"/>
        <v>0</v>
      </c>
      <c r="FS608">
        <v>0</v>
      </c>
      <c r="FX608">
        <v>70</v>
      </c>
      <c r="FY608">
        <v>10</v>
      </c>
      <c r="GA608" t="s">
        <v>3</v>
      </c>
      <c r="GD608">
        <v>0</v>
      </c>
      <c r="GF608">
        <v>734292325</v>
      </c>
      <c r="GG608">
        <v>2</v>
      </c>
      <c r="GH608">
        <v>1</v>
      </c>
      <c r="GI608">
        <v>-2</v>
      </c>
      <c r="GJ608">
        <v>0</v>
      </c>
      <c r="GK608">
        <f>ROUND(R608*(R12)/100,2)</f>
        <v>0</v>
      </c>
      <c r="GL608">
        <f t="shared" si="555"/>
        <v>0</v>
      </c>
      <c r="GM608">
        <f t="shared" si="556"/>
        <v>37059.480000000003</v>
      </c>
      <c r="GN608">
        <f t="shared" si="557"/>
        <v>0</v>
      </c>
      <c r="GO608">
        <f t="shared" si="558"/>
        <v>0</v>
      </c>
      <c r="GP608">
        <f t="shared" si="559"/>
        <v>37059.480000000003</v>
      </c>
      <c r="GR608">
        <v>0</v>
      </c>
      <c r="GS608">
        <v>3</v>
      </c>
      <c r="GT608">
        <v>0</v>
      </c>
      <c r="GU608" t="s">
        <v>3</v>
      </c>
      <c r="GV608">
        <f t="shared" si="560"/>
        <v>0</v>
      </c>
      <c r="GW608">
        <v>1</v>
      </c>
      <c r="GX608">
        <f t="shared" si="561"/>
        <v>0</v>
      </c>
      <c r="HA608">
        <v>0</v>
      </c>
      <c r="HB608">
        <v>0</v>
      </c>
      <c r="HC608">
        <f t="shared" si="562"/>
        <v>0</v>
      </c>
      <c r="HE608" t="s">
        <v>3</v>
      </c>
      <c r="HF608" t="s">
        <v>3</v>
      </c>
      <c r="HM608" t="s">
        <v>3</v>
      </c>
      <c r="HN608" t="s">
        <v>3</v>
      </c>
      <c r="HO608" t="s">
        <v>3</v>
      </c>
      <c r="HP608" t="s">
        <v>3</v>
      </c>
      <c r="HQ608" t="s">
        <v>3</v>
      </c>
      <c r="IK608">
        <v>0</v>
      </c>
    </row>
    <row r="609" spans="1:245" x14ac:dyDescent="0.2">
      <c r="A609">
        <v>17</v>
      </c>
      <c r="B609">
        <v>1</v>
      </c>
      <c r="D609">
        <f>ROW(EtalonRes!A332)</f>
        <v>332</v>
      </c>
      <c r="E609" t="s">
        <v>372</v>
      </c>
      <c r="F609" t="s">
        <v>176</v>
      </c>
      <c r="G609" t="s">
        <v>177</v>
      </c>
      <c r="H609" t="s">
        <v>178</v>
      </c>
      <c r="I609">
        <f t="shared" si="528"/>
        <v>10</v>
      </c>
      <c r="J609">
        <v>0</v>
      </c>
      <c r="K609">
        <f t="shared" si="529"/>
        <v>10</v>
      </c>
      <c r="O609">
        <f t="shared" si="530"/>
        <v>9448.1</v>
      </c>
      <c r="P609">
        <f t="shared" si="531"/>
        <v>7.4</v>
      </c>
      <c r="Q609">
        <f t="shared" si="532"/>
        <v>17.899999999999999</v>
      </c>
      <c r="R609">
        <f t="shared" si="533"/>
        <v>0.2</v>
      </c>
      <c r="S609">
        <f t="shared" si="534"/>
        <v>9422.7999999999993</v>
      </c>
      <c r="T609">
        <f t="shared" si="535"/>
        <v>0</v>
      </c>
      <c r="U609">
        <f t="shared" si="536"/>
        <v>14.2</v>
      </c>
      <c r="V609">
        <f t="shared" si="537"/>
        <v>0</v>
      </c>
      <c r="W609">
        <f t="shared" si="538"/>
        <v>0</v>
      </c>
      <c r="X609">
        <f t="shared" si="539"/>
        <v>6595.96</v>
      </c>
      <c r="Y609">
        <f t="shared" si="540"/>
        <v>942.28</v>
      </c>
      <c r="AA609">
        <v>1471718271</v>
      </c>
      <c r="AB609">
        <f t="shared" si="541"/>
        <v>944.81</v>
      </c>
      <c r="AC609">
        <f>ROUND((ES609),6)</f>
        <v>0.74</v>
      </c>
      <c r="AD609">
        <f>ROUND((((ET609)-(EU609))+AE609),6)</f>
        <v>1.79</v>
      </c>
      <c r="AE609">
        <f>ROUND((EU609),6)</f>
        <v>0.02</v>
      </c>
      <c r="AF609">
        <f>ROUND((EV609),6)</f>
        <v>942.28</v>
      </c>
      <c r="AG609">
        <f t="shared" si="542"/>
        <v>0</v>
      </c>
      <c r="AH609">
        <f>(EW609)</f>
        <v>1.42</v>
      </c>
      <c r="AI609">
        <f>(EX609)</f>
        <v>0</v>
      </c>
      <c r="AJ609">
        <f t="shared" si="543"/>
        <v>0</v>
      </c>
      <c r="AK609">
        <v>944.81</v>
      </c>
      <c r="AL609">
        <v>0.74</v>
      </c>
      <c r="AM609">
        <v>1.79</v>
      </c>
      <c r="AN609">
        <v>0.02</v>
      </c>
      <c r="AO609">
        <v>942.28</v>
      </c>
      <c r="AP609">
        <v>0</v>
      </c>
      <c r="AQ609">
        <v>1.42</v>
      </c>
      <c r="AR609">
        <v>0</v>
      </c>
      <c r="AS609">
        <v>0</v>
      </c>
      <c r="AT609">
        <v>70</v>
      </c>
      <c r="AU609">
        <v>10</v>
      </c>
      <c r="AV609">
        <v>1</v>
      </c>
      <c r="AW609">
        <v>1</v>
      </c>
      <c r="AZ609">
        <v>1</v>
      </c>
      <c r="BA609">
        <v>1</v>
      </c>
      <c r="BB609">
        <v>1</v>
      </c>
      <c r="BC609">
        <v>1</v>
      </c>
      <c r="BD609" t="s">
        <v>3</v>
      </c>
      <c r="BE609" t="s">
        <v>3</v>
      </c>
      <c r="BF609" t="s">
        <v>3</v>
      </c>
      <c r="BG609" t="s">
        <v>3</v>
      </c>
      <c r="BH609">
        <v>0</v>
      </c>
      <c r="BI609">
        <v>4</v>
      </c>
      <c r="BJ609" t="s">
        <v>179</v>
      </c>
      <c r="BM609">
        <v>0</v>
      </c>
      <c r="BN609">
        <v>0</v>
      </c>
      <c r="BO609" t="s">
        <v>3</v>
      </c>
      <c r="BP609">
        <v>0</v>
      </c>
      <c r="BQ609">
        <v>1</v>
      </c>
      <c r="BR609">
        <v>0</v>
      </c>
      <c r="BS609">
        <v>1</v>
      </c>
      <c r="BT609">
        <v>1</v>
      </c>
      <c r="BU609">
        <v>1</v>
      </c>
      <c r="BV609">
        <v>1</v>
      </c>
      <c r="BW609">
        <v>1</v>
      </c>
      <c r="BX609">
        <v>1</v>
      </c>
      <c r="BY609" t="s">
        <v>3</v>
      </c>
      <c r="BZ609">
        <v>70</v>
      </c>
      <c r="CA609">
        <v>10</v>
      </c>
      <c r="CB609" t="s">
        <v>3</v>
      </c>
      <c r="CE609">
        <v>0</v>
      </c>
      <c r="CF609">
        <v>0</v>
      </c>
      <c r="CG609">
        <v>0</v>
      </c>
      <c r="CM609">
        <v>0</v>
      </c>
      <c r="CN609" t="s">
        <v>3</v>
      </c>
      <c r="CO609">
        <v>0</v>
      </c>
      <c r="CP609">
        <f t="shared" si="544"/>
        <v>9448.0999999999985</v>
      </c>
      <c r="CQ609">
        <f t="shared" si="545"/>
        <v>0.74</v>
      </c>
      <c r="CR609">
        <f>((((ET609)*BB609-(EU609)*BS609)+AE609*BS609)*AV609)</f>
        <v>1.79</v>
      </c>
      <c r="CS609">
        <f t="shared" si="546"/>
        <v>0.02</v>
      </c>
      <c r="CT609">
        <f t="shared" si="547"/>
        <v>942.28</v>
      </c>
      <c r="CU609">
        <f t="shared" si="548"/>
        <v>0</v>
      </c>
      <c r="CV609">
        <f t="shared" si="549"/>
        <v>1.42</v>
      </c>
      <c r="CW609">
        <f t="shared" si="550"/>
        <v>0</v>
      </c>
      <c r="CX609">
        <f t="shared" si="551"/>
        <v>0</v>
      </c>
      <c r="CY609">
        <f t="shared" si="552"/>
        <v>6595.96</v>
      </c>
      <c r="CZ609">
        <f t="shared" si="553"/>
        <v>942.28</v>
      </c>
      <c r="DC609" t="s">
        <v>3</v>
      </c>
      <c r="DD609" t="s">
        <v>3</v>
      </c>
      <c r="DE609" t="s">
        <v>3</v>
      </c>
      <c r="DF609" t="s">
        <v>3</v>
      </c>
      <c r="DG609" t="s">
        <v>3</v>
      </c>
      <c r="DH609" t="s">
        <v>3</v>
      </c>
      <c r="DI609" t="s">
        <v>3</v>
      </c>
      <c r="DJ609" t="s">
        <v>3</v>
      </c>
      <c r="DK609" t="s">
        <v>3</v>
      </c>
      <c r="DL609" t="s">
        <v>3</v>
      </c>
      <c r="DM609" t="s">
        <v>3</v>
      </c>
      <c r="DN609">
        <v>0</v>
      </c>
      <c r="DO609">
        <v>0</v>
      </c>
      <c r="DP609">
        <v>1</v>
      </c>
      <c r="DQ609">
        <v>1</v>
      </c>
      <c r="DU609">
        <v>1013</v>
      </c>
      <c r="DV609" t="s">
        <v>178</v>
      </c>
      <c r="DW609" t="s">
        <v>178</v>
      </c>
      <c r="DX609">
        <v>1</v>
      </c>
      <c r="DZ609" t="s">
        <v>3</v>
      </c>
      <c r="EA609" t="s">
        <v>3</v>
      </c>
      <c r="EB609" t="s">
        <v>3</v>
      </c>
      <c r="EC609" t="s">
        <v>3</v>
      </c>
      <c r="EE609">
        <v>1441815344</v>
      </c>
      <c r="EF609">
        <v>1</v>
      </c>
      <c r="EG609" t="s">
        <v>21</v>
      </c>
      <c r="EH609">
        <v>0</v>
      </c>
      <c r="EI609" t="s">
        <v>3</v>
      </c>
      <c r="EJ609">
        <v>4</v>
      </c>
      <c r="EK609">
        <v>0</v>
      </c>
      <c r="EL609" t="s">
        <v>22</v>
      </c>
      <c r="EM609" t="s">
        <v>23</v>
      </c>
      <c r="EO609" t="s">
        <v>3</v>
      </c>
      <c r="EQ609">
        <v>0</v>
      </c>
      <c r="ER609">
        <v>944.81</v>
      </c>
      <c r="ES609">
        <v>0.74</v>
      </c>
      <c r="ET609">
        <v>1.79</v>
      </c>
      <c r="EU609">
        <v>0.02</v>
      </c>
      <c r="EV609">
        <v>942.28</v>
      </c>
      <c r="EW609">
        <v>1.42</v>
      </c>
      <c r="EX609">
        <v>0</v>
      </c>
      <c r="EY609">
        <v>0</v>
      </c>
      <c r="FQ609">
        <v>0</v>
      </c>
      <c r="FR609">
        <f t="shared" si="554"/>
        <v>0</v>
      </c>
      <c r="FS609">
        <v>0</v>
      </c>
      <c r="FX609">
        <v>70</v>
      </c>
      <c r="FY609">
        <v>10</v>
      </c>
      <c r="GA609" t="s">
        <v>3</v>
      </c>
      <c r="GD609">
        <v>0</v>
      </c>
      <c r="GF609">
        <v>-1859605603</v>
      </c>
      <c r="GG609">
        <v>2</v>
      </c>
      <c r="GH609">
        <v>1</v>
      </c>
      <c r="GI609">
        <v>-2</v>
      </c>
      <c r="GJ609">
        <v>0</v>
      </c>
      <c r="GK609">
        <f>ROUND(R609*(R12)/100,2)</f>
        <v>0.22</v>
      </c>
      <c r="GL609">
        <f t="shared" si="555"/>
        <v>0</v>
      </c>
      <c r="GM609">
        <f t="shared" si="556"/>
        <v>16986.560000000001</v>
      </c>
      <c r="GN609">
        <f t="shared" si="557"/>
        <v>0</v>
      </c>
      <c r="GO609">
        <f t="shared" si="558"/>
        <v>0</v>
      </c>
      <c r="GP609">
        <f t="shared" si="559"/>
        <v>16986.560000000001</v>
      </c>
      <c r="GR609">
        <v>0</v>
      </c>
      <c r="GS609">
        <v>3</v>
      </c>
      <c r="GT609">
        <v>0</v>
      </c>
      <c r="GU609" t="s">
        <v>3</v>
      </c>
      <c r="GV609">
        <f t="shared" si="560"/>
        <v>0</v>
      </c>
      <c r="GW609">
        <v>1</v>
      </c>
      <c r="GX609">
        <f t="shared" si="561"/>
        <v>0</v>
      </c>
      <c r="HA609">
        <v>0</v>
      </c>
      <c r="HB609">
        <v>0</v>
      </c>
      <c r="HC609">
        <f t="shared" si="562"/>
        <v>0</v>
      </c>
      <c r="HE609" t="s">
        <v>3</v>
      </c>
      <c r="HF609" t="s">
        <v>3</v>
      </c>
      <c r="HM609" t="s">
        <v>3</v>
      </c>
      <c r="HN609" t="s">
        <v>3</v>
      </c>
      <c r="HO609" t="s">
        <v>3</v>
      </c>
      <c r="HP609" t="s">
        <v>3</v>
      </c>
      <c r="HQ609" t="s">
        <v>3</v>
      </c>
      <c r="IK609">
        <v>0</v>
      </c>
    </row>
    <row r="610" spans="1:245" x14ac:dyDescent="0.2">
      <c r="A610">
        <v>17</v>
      </c>
      <c r="B610">
        <v>1</v>
      </c>
      <c r="D610">
        <f>ROW(EtalonRes!A334)</f>
        <v>334</v>
      </c>
      <c r="E610" t="s">
        <v>3</v>
      </c>
      <c r="F610" t="s">
        <v>180</v>
      </c>
      <c r="G610" t="s">
        <v>181</v>
      </c>
      <c r="H610" t="s">
        <v>178</v>
      </c>
      <c r="I610">
        <f t="shared" si="528"/>
        <v>10</v>
      </c>
      <c r="J610">
        <v>0</v>
      </c>
      <c r="K610">
        <f t="shared" si="529"/>
        <v>10</v>
      </c>
      <c r="O610">
        <f t="shared" si="530"/>
        <v>15537</v>
      </c>
      <c r="P610">
        <f t="shared" si="531"/>
        <v>9.3000000000000007</v>
      </c>
      <c r="Q610">
        <f t="shared" si="532"/>
        <v>0</v>
      </c>
      <c r="R610">
        <f t="shared" si="533"/>
        <v>0</v>
      </c>
      <c r="S610">
        <f t="shared" si="534"/>
        <v>15527.7</v>
      </c>
      <c r="T610">
        <f t="shared" si="535"/>
        <v>0</v>
      </c>
      <c r="U610">
        <f t="shared" si="536"/>
        <v>23.4</v>
      </c>
      <c r="V610">
        <f t="shared" si="537"/>
        <v>0</v>
      </c>
      <c r="W610">
        <f t="shared" si="538"/>
        <v>0</v>
      </c>
      <c r="X610">
        <f t="shared" si="539"/>
        <v>10869.39</v>
      </c>
      <c r="Y610">
        <f t="shared" si="540"/>
        <v>1552.77</v>
      </c>
      <c r="AA610">
        <v>-1</v>
      </c>
      <c r="AB610">
        <f t="shared" si="541"/>
        <v>1553.7</v>
      </c>
      <c r="AC610">
        <f>ROUND(((ES610*3)),6)</f>
        <v>0.93</v>
      </c>
      <c r="AD610">
        <f>ROUND(((((ET610*3))-((EU610*3)))+AE610),6)</f>
        <v>0</v>
      </c>
      <c r="AE610">
        <f>ROUND(((EU610*3)),6)</f>
        <v>0</v>
      </c>
      <c r="AF610">
        <f>ROUND(((EV610*3)),6)</f>
        <v>1552.77</v>
      </c>
      <c r="AG610">
        <f t="shared" si="542"/>
        <v>0</v>
      </c>
      <c r="AH610">
        <f>((EW610*3))</f>
        <v>2.34</v>
      </c>
      <c r="AI610">
        <f>((EX610*3))</f>
        <v>0</v>
      </c>
      <c r="AJ610">
        <f t="shared" si="543"/>
        <v>0</v>
      </c>
      <c r="AK610">
        <v>517.9</v>
      </c>
      <c r="AL610">
        <v>0.31</v>
      </c>
      <c r="AM610">
        <v>0</v>
      </c>
      <c r="AN610">
        <v>0</v>
      </c>
      <c r="AO610">
        <v>517.59</v>
      </c>
      <c r="AP610">
        <v>0</v>
      </c>
      <c r="AQ610">
        <v>0.78</v>
      </c>
      <c r="AR610">
        <v>0</v>
      </c>
      <c r="AS610">
        <v>0</v>
      </c>
      <c r="AT610">
        <v>70</v>
      </c>
      <c r="AU610">
        <v>10</v>
      </c>
      <c r="AV610">
        <v>1</v>
      </c>
      <c r="AW610">
        <v>1</v>
      </c>
      <c r="AZ610">
        <v>1</v>
      </c>
      <c r="BA610">
        <v>1</v>
      </c>
      <c r="BB610">
        <v>1</v>
      </c>
      <c r="BC610">
        <v>1</v>
      </c>
      <c r="BD610" t="s">
        <v>3</v>
      </c>
      <c r="BE610" t="s">
        <v>3</v>
      </c>
      <c r="BF610" t="s">
        <v>3</v>
      </c>
      <c r="BG610" t="s">
        <v>3</v>
      </c>
      <c r="BH610">
        <v>0</v>
      </c>
      <c r="BI610">
        <v>4</v>
      </c>
      <c r="BJ610" t="s">
        <v>182</v>
      </c>
      <c r="BM610">
        <v>0</v>
      </c>
      <c r="BN610">
        <v>0</v>
      </c>
      <c r="BO610" t="s">
        <v>3</v>
      </c>
      <c r="BP610">
        <v>0</v>
      </c>
      <c r="BQ610">
        <v>1</v>
      </c>
      <c r="BR610">
        <v>0</v>
      </c>
      <c r="BS610">
        <v>1</v>
      </c>
      <c r="BT610">
        <v>1</v>
      </c>
      <c r="BU610">
        <v>1</v>
      </c>
      <c r="BV610">
        <v>1</v>
      </c>
      <c r="BW610">
        <v>1</v>
      </c>
      <c r="BX610">
        <v>1</v>
      </c>
      <c r="BY610" t="s">
        <v>3</v>
      </c>
      <c r="BZ610">
        <v>70</v>
      </c>
      <c r="CA610">
        <v>10</v>
      </c>
      <c r="CB610" t="s">
        <v>3</v>
      </c>
      <c r="CE610">
        <v>0</v>
      </c>
      <c r="CF610">
        <v>0</v>
      </c>
      <c r="CG610">
        <v>0</v>
      </c>
      <c r="CM610">
        <v>0</v>
      </c>
      <c r="CN610" t="s">
        <v>3</v>
      </c>
      <c r="CO610">
        <v>0</v>
      </c>
      <c r="CP610">
        <f t="shared" si="544"/>
        <v>15537</v>
      </c>
      <c r="CQ610">
        <f t="shared" si="545"/>
        <v>0.93</v>
      </c>
      <c r="CR610">
        <f>(((((ET610*3))*BB610-((EU610*3))*BS610)+AE610*BS610)*AV610)</f>
        <v>0</v>
      </c>
      <c r="CS610">
        <f t="shared" si="546"/>
        <v>0</v>
      </c>
      <c r="CT610">
        <f t="shared" si="547"/>
        <v>1552.77</v>
      </c>
      <c r="CU610">
        <f t="shared" si="548"/>
        <v>0</v>
      </c>
      <c r="CV610">
        <f t="shared" si="549"/>
        <v>2.34</v>
      </c>
      <c r="CW610">
        <f t="shared" si="550"/>
        <v>0</v>
      </c>
      <c r="CX610">
        <f t="shared" si="551"/>
        <v>0</v>
      </c>
      <c r="CY610">
        <f t="shared" si="552"/>
        <v>10869.39</v>
      </c>
      <c r="CZ610">
        <f t="shared" si="553"/>
        <v>1552.77</v>
      </c>
      <c r="DC610" t="s">
        <v>3</v>
      </c>
      <c r="DD610" t="s">
        <v>163</v>
      </c>
      <c r="DE610" t="s">
        <v>163</v>
      </c>
      <c r="DF610" t="s">
        <v>163</v>
      </c>
      <c r="DG610" t="s">
        <v>163</v>
      </c>
      <c r="DH610" t="s">
        <v>3</v>
      </c>
      <c r="DI610" t="s">
        <v>163</v>
      </c>
      <c r="DJ610" t="s">
        <v>163</v>
      </c>
      <c r="DK610" t="s">
        <v>3</v>
      </c>
      <c r="DL610" t="s">
        <v>3</v>
      </c>
      <c r="DM610" t="s">
        <v>3</v>
      </c>
      <c r="DN610">
        <v>0</v>
      </c>
      <c r="DO610">
        <v>0</v>
      </c>
      <c r="DP610">
        <v>1</v>
      </c>
      <c r="DQ610">
        <v>1</v>
      </c>
      <c r="DU610">
        <v>1013</v>
      </c>
      <c r="DV610" t="s">
        <v>178</v>
      </c>
      <c r="DW610" t="s">
        <v>178</v>
      </c>
      <c r="DX610">
        <v>1</v>
      </c>
      <c r="DZ610" t="s">
        <v>3</v>
      </c>
      <c r="EA610" t="s">
        <v>3</v>
      </c>
      <c r="EB610" t="s">
        <v>3</v>
      </c>
      <c r="EC610" t="s">
        <v>3</v>
      </c>
      <c r="EE610">
        <v>1441815344</v>
      </c>
      <c r="EF610">
        <v>1</v>
      </c>
      <c r="EG610" t="s">
        <v>21</v>
      </c>
      <c r="EH610">
        <v>0</v>
      </c>
      <c r="EI610" t="s">
        <v>3</v>
      </c>
      <c r="EJ610">
        <v>4</v>
      </c>
      <c r="EK610">
        <v>0</v>
      </c>
      <c r="EL610" t="s">
        <v>22</v>
      </c>
      <c r="EM610" t="s">
        <v>23</v>
      </c>
      <c r="EO610" t="s">
        <v>3</v>
      </c>
      <c r="EQ610">
        <v>1024</v>
      </c>
      <c r="ER610">
        <v>517.9</v>
      </c>
      <c r="ES610">
        <v>0.31</v>
      </c>
      <c r="ET610">
        <v>0</v>
      </c>
      <c r="EU610">
        <v>0</v>
      </c>
      <c r="EV610">
        <v>517.59</v>
      </c>
      <c r="EW610">
        <v>0.78</v>
      </c>
      <c r="EX610">
        <v>0</v>
      </c>
      <c r="EY610">
        <v>0</v>
      </c>
      <c r="FQ610">
        <v>0</v>
      </c>
      <c r="FR610">
        <f t="shared" si="554"/>
        <v>0</v>
      </c>
      <c r="FS610">
        <v>0</v>
      </c>
      <c r="FX610">
        <v>70</v>
      </c>
      <c r="FY610">
        <v>10</v>
      </c>
      <c r="GA610" t="s">
        <v>3</v>
      </c>
      <c r="GD610">
        <v>0</v>
      </c>
      <c r="GF610">
        <v>1835675401</v>
      </c>
      <c r="GG610">
        <v>2</v>
      </c>
      <c r="GH610">
        <v>1</v>
      </c>
      <c r="GI610">
        <v>-2</v>
      </c>
      <c r="GJ610">
        <v>0</v>
      </c>
      <c r="GK610">
        <f>ROUND(R610*(R12)/100,2)</f>
        <v>0</v>
      </c>
      <c r="GL610">
        <f t="shared" si="555"/>
        <v>0</v>
      </c>
      <c r="GM610">
        <f t="shared" si="556"/>
        <v>27959.16</v>
      </c>
      <c r="GN610">
        <f t="shared" si="557"/>
        <v>0</v>
      </c>
      <c r="GO610">
        <f t="shared" si="558"/>
        <v>0</v>
      </c>
      <c r="GP610">
        <f t="shared" si="559"/>
        <v>27959.16</v>
      </c>
      <c r="GR610">
        <v>0</v>
      </c>
      <c r="GS610">
        <v>3</v>
      </c>
      <c r="GT610">
        <v>0</v>
      </c>
      <c r="GU610" t="s">
        <v>3</v>
      </c>
      <c r="GV610">
        <f t="shared" si="560"/>
        <v>0</v>
      </c>
      <c r="GW610">
        <v>1</v>
      </c>
      <c r="GX610">
        <f t="shared" si="561"/>
        <v>0</v>
      </c>
      <c r="HA610">
        <v>0</v>
      </c>
      <c r="HB610">
        <v>0</v>
      </c>
      <c r="HC610">
        <f t="shared" si="562"/>
        <v>0</v>
      </c>
      <c r="HE610" t="s">
        <v>3</v>
      </c>
      <c r="HF610" t="s">
        <v>3</v>
      </c>
      <c r="HM610" t="s">
        <v>3</v>
      </c>
      <c r="HN610" t="s">
        <v>3</v>
      </c>
      <c r="HO610" t="s">
        <v>3</v>
      </c>
      <c r="HP610" t="s">
        <v>3</v>
      </c>
      <c r="HQ610" t="s">
        <v>3</v>
      </c>
      <c r="IK610">
        <v>0</v>
      </c>
    </row>
    <row r="611" spans="1:245" x14ac:dyDescent="0.2">
      <c r="A611">
        <v>17</v>
      </c>
      <c r="B611">
        <v>1</v>
      </c>
      <c r="D611">
        <f>ROW(EtalonRes!A337)</f>
        <v>337</v>
      </c>
      <c r="E611" t="s">
        <v>373</v>
      </c>
      <c r="F611" t="s">
        <v>184</v>
      </c>
      <c r="G611" t="s">
        <v>185</v>
      </c>
      <c r="H611" t="s">
        <v>178</v>
      </c>
      <c r="I611">
        <f t="shared" si="528"/>
        <v>10</v>
      </c>
      <c r="J611">
        <v>0</v>
      </c>
      <c r="K611">
        <f t="shared" si="529"/>
        <v>10</v>
      </c>
      <c r="O611">
        <f t="shared" si="530"/>
        <v>16501</v>
      </c>
      <c r="P611">
        <f t="shared" si="531"/>
        <v>9.4</v>
      </c>
      <c r="Q611">
        <f t="shared" si="532"/>
        <v>34.9</v>
      </c>
      <c r="R611">
        <f t="shared" si="533"/>
        <v>0.5</v>
      </c>
      <c r="S611">
        <f t="shared" si="534"/>
        <v>16456.7</v>
      </c>
      <c r="T611">
        <f t="shared" si="535"/>
        <v>0</v>
      </c>
      <c r="U611">
        <f t="shared" si="536"/>
        <v>24.8</v>
      </c>
      <c r="V611">
        <f t="shared" si="537"/>
        <v>0</v>
      </c>
      <c r="W611">
        <f t="shared" si="538"/>
        <v>0</v>
      </c>
      <c r="X611">
        <f t="shared" si="539"/>
        <v>11519.69</v>
      </c>
      <c r="Y611">
        <f t="shared" si="540"/>
        <v>1645.67</v>
      </c>
      <c r="AA611">
        <v>1471718271</v>
      </c>
      <c r="AB611">
        <f t="shared" si="541"/>
        <v>1650.1</v>
      </c>
      <c r="AC611">
        <f>ROUND((ES611),6)</f>
        <v>0.94</v>
      </c>
      <c r="AD611">
        <f>ROUND((((ET611)-(EU611))+AE611),6)</f>
        <v>3.49</v>
      </c>
      <c r="AE611">
        <f>ROUND((EU611),6)</f>
        <v>0.05</v>
      </c>
      <c r="AF611">
        <f>ROUND((EV611),6)</f>
        <v>1645.67</v>
      </c>
      <c r="AG611">
        <f t="shared" si="542"/>
        <v>0</v>
      </c>
      <c r="AH611">
        <f>(EW611)</f>
        <v>2.48</v>
      </c>
      <c r="AI611">
        <f>(EX611)</f>
        <v>0</v>
      </c>
      <c r="AJ611">
        <f t="shared" si="543"/>
        <v>0</v>
      </c>
      <c r="AK611">
        <v>1650.1</v>
      </c>
      <c r="AL611">
        <v>0.94</v>
      </c>
      <c r="AM611">
        <v>3.49</v>
      </c>
      <c r="AN611">
        <v>0.05</v>
      </c>
      <c r="AO611">
        <v>1645.67</v>
      </c>
      <c r="AP611">
        <v>0</v>
      </c>
      <c r="AQ611">
        <v>2.48</v>
      </c>
      <c r="AR611">
        <v>0</v>
      </c>
      <c r="AS611">
        <v>0</v>
      </c>
      <c r="AT611">
        <v>70</v>
      </c>
      <c r="AU611">
        <v>10</v>
      </c>
      <c r="AV611">
        <v>1</v>
      </c>
      <c r="AW611">
        <v>1</v>
      </c>
      <c r="AZ611">
        <v>1</v>
      </c>
      <c r="BA611">
        <v>1</v>
      </c>
      <c r="BB611">
        <v>1</v>
      </c>
      <c r="BC611">
        <v>1</v>
      </c>
      <c r="BD611" t="s">
        <v>3</v>
      </c>
      <c r="BE611" t="s">
        <v>3</v>
      </c>
      <c r="BF611" t="s">
        <v>3</v>
      </c>
      <c r="BG611" t="s">
        <v>3</v>
      </c>
      <c r="BH611">
        <v>0</v>
      </c>
      <c r="BI611">
        <v>4</v>
      </c>
      <c r="BJ611" t="s">
        <v>186</v>
      </c>
      <c r="BM611">
        <v>0</v>
      </c>
      <c r="BN611">
        <v>0</v>
      </c>
      <c r="BO611" t="s">
        <v>3</v>
      </c>
      <c r="BP611">
        <v>0</v>
      </c>
      <c r="BQ611">
        <v>1</v>
      </c>
      <c r="BR611">
        <v>0</v>
      </c>
      <c r="BS611">
        <v>1</v>
      </c>
      <c r="BT611">
        <v>1</v>
      </c>
      <c r="BU611">
        <v>1</v>
      </c>
      <c r="BV611">
        <v>1</v>
      </c>
      <c r="BW611">
        <v>1</v>
      </c>
      <c r="BX611">
        <v>1</v>
      </c>
      <c r="BY611" t="s">
        <v>3</v>
      </c>
      <c r="BZ611">
        <v>70</v>
      </c>
      <c r="CA611">
        <v>10</v>
      </c>
      <c r="CB611" t="s">
        <v>3</v>
      </c>
      <c r="CE611">
        <v>0</v>
      </c>
      <c r="CF611">
        <v>0</v>
      </c>
      <c r="CG611">
        <v>0</v>
      </c>
      <c r="CM611">
        <v>0</v>
      </c>
      <c r="CN611" t="s">
        <v>3</v>
      </c>
      <c r="CO611">
        <v>0</v>
      </c>
      <c r="CP611">
        <f t="shared" si="544"/>
        <v>16501</v>
      </c>
      <c r="CQ611">
        <f t="shared" si="545"/>
        <v>0.94</v>
      </c>
      <c r="CR611">
        <f>((((ET611)*BB611-(EU611)*BS611)+AE611*BS611)*AV611)</f>
        <v>3.49</v>
      </c>
      <c r="CS611">
        <f t="shared" si="546"/>
        <v>0.05</v>
      </c>
      <c r="CT611">
        <f t="shared" si="547"/>
        <v>1645.67</v>
      </c>
      <c r="CU611">
        <f t="shared" si="548"/>
        <v>0</v>
      </c>
      <c r="CV611">
        <f t="shared" si="549"/>
        <v>2.48</v>
      </c>
      <c r="CW611">
        <f t="shared" si="550"/>
        <v>0</v>
      </c>
      <c r="CX611">
        <f t="shared" si="551"/>
        <v>0</v>
      </c>
      <c r="CY611">
        <f t="shared" si="552"/>
        <v>11519.69</v>
      </c>
      <c r="CZ611">
        <f t="shared" si="553"/>
        <v>1645.67</v>
      </c>
      <c r="DC611" t="s">
        <v>3</v>
      </c>
      <c r="DD611" t="s">
        <v>3</v>
      </c>
      <c r="DE611" t="s">
        <v>3</v>
      </c>
      <c r="DF611" t="s">
        <v>3</v>
      </c>
      <c r="DG611" t="s">
        <v>3</v>
      </c>
      <c r="DH611" t="s">
        <v>3</v>
      </c>
      <c r="DI611" t="s">
        <v>3</v>
      </c>
      <c r="DJ611" t="s">
        <v>3</v>
      </c>
      <c r="DK611" t="s">
        <v>3</v>
      </c>
      <c r="DL611" t="s">
        <v>3</v>
      </c>
      <c r="DM611" t="s">
        <v>3</v>
      </c>
      <c r="DN611">
        <v>0</v>
      </c>
      <c r="DO611">
        <v>0</v>
      </c>
      <c r="DP611">
        <v>1</v>
      </c>
      <c r="DQ611">
        <v>1</v>
      </c>
      <c r="DU611">
        <v>1013</v>
      </c>
      <c r="DV611" t="s">
        <v>178</v>
      </c>
      <c r="DW611" t="s">
        <v>178</v>
      </c>
      <c r="DX611">
        <v>1</v>
      </c>
      <c r="DZ611" t="s">
        <v>3</v>
      </c>
      <c r="EA611" t="s">
        <v>3</v>
      </c>
      <c r="EB611" t="s">
        <v>3</v>
      </c>
      <c r="EC611" t="s">
        <v>3</v>
      </c>
      <c r="EE611">
        <v>1441815344</v>
      </c>
      <c r="EF611">
        <v>1</v>
      </c>
      <c r="EG611" t="s">
        <v>21</v>
      </c>
      <c r="EH611">
        <v>0</v>
      </c>
      <c r="EI611" t="s">
        <v>3</v>
      </c>
      <c r="EJ611">
        <v>4</v>
      </c>
      <c r="EK611">
        <v>0</v>
      </c>
      <c r="EL611" t="s">
        <v>22</v>
      </c>
      <c r="EM611" t="s">
        <v>23</v>
      </c>
      <c r="EO611" t="s">
        <v>3</v>
      </c>
      <c r="EQ611">
        <v>0</v>
      </c>
      <c r="ER611">
        <v>1650.1</v>
      </c>
      <c r="ES611">
        <v>0.94</v>
      </c>
      <c r="ET611">
        <v>3.49</v>
      </c>
      <c r="EU611">
        <v>0.05</v>
      </c>
      <c r="EV611">
        <v>1645.67</v>
      </c>
      <c r="EW611">
        <v>2.48</v>
      </c>
      <c r="EX611">
        <v>0</v>
      </c>
      <c r="EY611">
        <v>0</v>
      </c>
      <c r="FQ611">
        <v>0</v>
      </c>
      <c r="FR611">
        <f t="shared" si="554"/>
        <v>0</v>
      </c>
      <c r="FS611">
        <v>0</v>
      </c>
      <c r="FX611">
        <v>70</v>
      </c>
      <c r="FY611">
        <v>10</v>
      </c>
      <c r="GA611" t="s">
        <v>3</v>
      </c>
      <c r="GD611">
        <v>0</v>
      </c>
      <c r="GF611">
        <v>-837754666</v>
      </c>
      <c r="GG611">
        <v>2</v>
      </c>
      <c r="GH611">
        <v>1</v>
      </c>
      <c r="GI611">
        <v>-2</v>
      </c>
      <c r="GJ611">
        <v>0</v>
      </c>
      <c r="GK611">
        <f>ROUND(R611*(R12)/100,2)</f>
        <v>0.54</v>
      </c>
      <c r="GL611">
        <f t="shared" si="555"/>
        <v>0</v>
      </c>
      <c r="GM611">
        <f t="shared" si="556"/>
        <v>29666.9</v>
      </c>
      <c r="GN611">
        <f t="shared" si="557"/>
        <v>0</v>
      </c>
      <c r="GO611">
        <f t="shared" si="558"/>
        <v>0</v>
      </c>
      <c r="GP611">
        <f t="shared" si="559"/>
        <v>29666.9</v>
      </c>
      <c r="GR611">
        <v>0</v>
      </c>
      <c r="GS611">
        <v>3</v>
      </c>
      <c r="GT611">
        <v>0</v>
      </c>
      <c r="GU611" t="s">
        <v>3</v>
      </c>
      <c r="GV611">
        <f t="shared" si="560"/>
        <v>0</v>
      </c>
      <c r="GW611">
        <v>1</v>
      </c>
      <c r="GX611">
        <f t="shared" si="561"/>
        <v>0</v>
      </c>
      <c r="HA611">
        <v>0</v>
      </c>
      <c r="HB611">
        <v>0</v>
      </c>
      <c r="HC611">
        <f t="shared" si="562"/>
        <v>0</v>
      </c>
      <c r="HE611" t="s">
        <v>3</v>
      </c>
      <c r="HF611" t="s">
        <v>3</v>
      </c>
      <c r="HM611" t="s">
        <v>3</v>
      </c>
      <c r="HN611" t="s">
        <v>3</v>
      </c>
      <c r="HO611" t="s">
        <v>3</v>
      </c>
      <c r="HP611" t="s">
        <v>3</v>
      </c>
      <c r="HQ611" t="s">
        <v>3</v>
      </c>
      <c r="IK611">
        <v>0</v>
      </c>
    </row>
    <row r="612" spans="1:245" x14ac:dyDescent="0.2">
      <c r="A612">
        <v>17</v>
      </c>
      <c r="B612">
        <v>1</v>
      </c>
      <c r="D612">
        <f>ROW(EtalonRes!A340)</f>
        <v>340</v>
      </c>
      <c r="E612" t="s">
        <v>3</v>
      </c>
      <c r="F612" t="s">
        <v>187</v>
      </c>
      <c r="G612" t="s">
        <v>188</v>
      </c>
      <c r="H612" t="s">
        <v>178</v>
      </c>
      <c r="I612">
        <f t="shared" si="528"/>
        <v>10</v>
      </c>
      <c r="J612">
        <v>0</v>
      </c>
      <c r="K612">
        <f t="shared" si="529"/>
        <v>10</v>
      </c>
      <c r="O612">
        <f t="shared" si="530"/>
        <v>37160.400000000001</v>
      </c>
      <c r="P612">
        <f t="shared" si="531"/>
        <v>28.2</v>
      </c>
      <c r="Q612">
        <f t="shared" si="532"/>
        <v>104.7</v>
      </c>
      <c r="R612">
        <f t="shared" si="533"/>
        <v>1.5</v>
      </c>
      <c r="S612">
        <f t="shared" si="534"/>
        <v>37027.5</v>
      </c>
      <c r="T612">
        <f t="shared" si="535"/>
        <v>0</v>
      </c>
      <c r="U612">
        <f t="shared" si="536"/>
        <v>55.8</v>
      </c>
      <c r="V612">
        <f t="shared" si="537"/>
        <v>0</v>
      </c>
      <c r="W612">
        <f t="shared" si="538"/>
        <v>0</v>
      </c>
      <c r="X612">
        <f t="shared" si="539"/>
        <v>25919.25</v>
      </c>
      <c r="Y612">
        <f t="shared" si="540"/>
        <v>3702.75</v>
      </c>
      <c r="AA612">
        <v>-1</v>
      </c>
      <c r="AB612">
        <f t="shared" si="541"/>
        <v>3716.04</v>
      </c>
      <c r="AC612">
        <f>ROUND(((ES612*3)),6)</f>
        <v>2.82</v>
      </c>
      <c r="AD612">
        <f>ROUND(((((ET612*3))-((EU612*3)))+AE612),6)</f>
        <v>10.47</v>
      </c>
      <c r="AE612">
        <f>ROUND(((EU612*3)),6)</f>
        <v>0.15</v>
      </c>
      <c r="AF612">
        <f>ROUND(((EV612*3)),6)</f>
        <v>3702.75</v>
      </c>
      <c r="AG612">
        <f t="shared" si="542"/>
        <v>0</v>
      </c>
      <c r="AH612">
        <f>((EW612*3))</f>
        <v>5.58</v>
      </c>
      <c r="AI612">
        <f>((EX612*3))</f>
        <v>0</v>
      </c>
      <c r="AJ612">
        <f t="shared" si="543"/>
        <v>0</v>
      </c>
      <c r="AK612">
        <v>1238.68</v>
      </c>
      <c r="AL612">
        <v>0.94</v>
      </c>
      <c r="AM612">
        <v>3.49</v>
      </c>
      <c r="AN612">
        <v>0.05</v>
      </c>
      <c r="AO612">
        <v>1234.25</v>
      </c>
      <c r="AP612">
        <v>0</v>
      </c>
      <c r="AQ612">
        <v>1.86</v>
      </c>
      <c r="AR612">
        <v>0</v>
      </c>
      <c r="AS612">
        <v>0</v>
      </c>
      <c r="AT612">
        <v>70</v>
      </c>
      <c r="AU612">
        <v>10</v>
      </c>
      <c r="AV612">
        <v>1</v>
      </c>
      <c r="AW612">
        <v>1</v>
      </c>
      <c r="AZ612">
        <v>1</v>
      </c>
      <c r="BA612">
        <v>1</v>
      </c>
      <c r="BB612">
        <v>1</v>
      </c>
      <c r="BC612">
        <v>1</v>
      </c>
      <c r="BD612" t="s">
        <v>3</v>
      </c>
      <c r="BE612" t="s">
        <v>3</v>
      </c>
      <c r="BF612" t="s">
        <v>3</v>
      </c>
      <c r="BG612" t="s">
        <v>3</v>
      </c>
      <c r="BH612">
        <v>0</v>
      </c>
      <c r="BI612">
        <v>4</v>
      </c>
      <c r="BJ612" t="s">
        <v>189</v>
      </c>
      <c r="BM612">
        <v>0</v>
      </c>
      <c r="BN612">
        <v>0</v>
      </c>
      <c r="BO612" t="s">
        <v>3</v>
      </c>
      <c r="BP612">
        <v>0</v>
      </c>
      <c r="BQ612">
        <v>1</v>
      </c>
      <c r="BR612">
        <v>0</v>
      </c>
      <c r="BS612">
        <v>1</v>
      </c>
      <c r="BT612">
        <v>1</v>
      </c>
      <c r="BU612">
        <v>1</v>
      </c>
      <c r="BV612">
        <v>1</v>
      </c>
      <c r="BW612">
        <v>1</v>
      </c>
      <c r="BX612">
        <v>1</v>
      </c>
      <c r="BY612" t="s">
        <v>3</v>
      </c>
      <c r="BZ612">
        <v>70</v>
      </c>
      <c r="CA612">
        <v>10</v>
      </c>
      <c r="CB612" t="s">
        <v>3</v>
      </c>
      <c r="CE612">
        <v>0</v>
      </c>
      <c r="CF612">
        <v>0</v>
      </c>
      <c r="CG612">
        <v>0</v>
      </c>
      <c r="CM612">
        <v>0</v>
      </c>
      <c r="CN612" t="s">
        <v>3</v>
      </c>
      <c r="CO612">
        <v>0</v>
      </c>
      <c r="CP612">
        <f t="shared" si="544"/>
        <v>37160.400000000001</v>
      </c>
      <c r="CQ612">
        <f t="shared" si="545"/>
        <v>2.82</v>
      </c>
      <c r="CR612">
        <f>(((((ET612*3))*BB612-((EU612*3))*BS612)+AE612*BS612)*AV612)</f>
        <v>10.47</v>
      </c>
      <c r="CS612">
        <f t="shared" si="546"/>
        <v>0.15</v>
      </c>
      <c r="CT612">
        <f t="shared" si="547"/>
        <v>3702.75</v>
      </c>
      <c r="CU612">
        <f t="shared" si="548"/>
        <v>0</v>
      </c>
      <c r="CV612">
        <f t="shared" si="549"/>
        <v>5.58</v>
      </c>
      <c r="CW612">
        <f t="shared" si="550"/>
        <v>0</v>
      </c>
      <c r="CX612">
        <f t="shared" si="551"/>
        <v>0</v>
      </c>
      <c r="CY612">
        <f t="shared" si="552"/>
        <v>25919.25</v>
      </c>
      <c r="CZ612">
        <f t="shared" si="553"/>
        <v>3702.75</v>
      </c>
      <c r="DC612" t="s">
        <v>3</v>
      </c>
      <c r="DD612" t="s">
        <v>163</v>
      </c>
      <c r="DE612" t="s">
        <v>163</v>
      </c>
      <c r="DF612" t="s">
        <v>163</v>
      </c>
      <c r="DG612" t="s">
        <v>163</v>
      </c>
      <c r="DH612" t="s">
        <v>3</v>
      </c>
      <c r="DI612" t="s">
        <v>163</v>
      </c>
      <c r="DJ612" t="s">
        <v>163</v>
      </c>
      <c r="DK612" t="s">
        <v>3</v>
      </c>
      <c r="DL612" t="s">
        <v>3</v>
      </c>
      <c r="DM612" t="s">
        <v>3</v>
      </c>
      <c r="DN612">
        <v>0</v>
      </c>
      <c r="DO612">
        <v>0</v>
      </c>
      <c r="DP612">
        <v>1</v>
      </c>
      <c r="DQ612">
        <v>1</v>
      </c>
      <c r="DU612">
        <v>1013</v>
      </c>
      <c r="DV612" t="s">
        <v>178</v>
      </c>
      <c r="DW612" t="s">
        <v>178</v>
      </c>
      <c r="DX612">
        <v>1</v>
      </c>
      <c r="DZ612" t="s">
        <v>3</v>
      </c>
      <c r="EA612" t="s">
        <v>3</v>
      </c>
      <c r="EB612" t="s">
        <v>3</v>
      </c>
      <c r="EC612" t="s">
        <v>3</v>
      </c>
      <c r="EE612">
        <v>1441815344</v>
      </c>
      <c r="EF612">
        <v>1</v>
      </c>
      <c r="EG612" t="s">
        <v>21</v>
      </c>
      <c r="EH612">
        <v>0</v>
      </c>
      <c r="EI612" t="s">
        <v>3</v>
      </c>
      <c r="EJ612">
        <v>4</v>
      </c>
      <c r="EK612">
        <v>0</v>
      </c>
      <c r="EL612" t="s">
        <v>22</v>
      </c>
      <c r="EM612" t="s">
        <v>23</v>
      </c>
      <c r="EO612" t="s">
        <v>3</v>
      </c>
      <c r="EQ612">
        <v>1024</v>
      </c>
      <c r="ER612">
        <v>1238.68</v>
      </c>
      <c r="ES612">
        <v>0.94</v>
      </c>
      <c r="ET612">
        <v>3.49</v>
      </c>
      <c r="EU612">
        <v>0.05</v>
      </c>
      <c r="EV612">
        <v>1234.25</v>
      </c>
      <c r="EW612">
        <v>1.86</v>
      </c>
      <c r="EX612">
        <v>0</v>
      </c>
      <c r="EY612">
        <v>0</v>
      </c>
      <c r="FQ612">
        <v>0</v>
      </c>
      <c r="FR612">
        <f t="shared" si="554"/>
        <v>0</v>
      </c>
      <c r="FS612">
        <v>0</v>
      </c>
      <c r="FX612">
        <v>70</v>
      </c>
      <c r="FY612">
        <v>10</v>
      </c>
      <c r="GA612" t="s">
        <v>3</v>
      </c>
      <c r="GD612">
        <v>0</v>
      </c>
      <c r="GF612">
        <v>1840343037</v>
      </c>
      <c r="GG612">
        <v>2</v>
      </c>
      <c r="GH612">
        <v>1</v>
      </c>
      <c r="GI612">
        <v>-2</v>
      </c>
      <c r="GJ612">
        <v>0</v>
      </c>
      <c r="GK612">
        <f>ROUND(R612*(R12)/100,2)</f>
        <v>1.62</v>
      </c>
      <c r="GL612">
        <f t="shared" si="555"/>
        <v>0</v>
      </c>
      <c r="GM612">
        <f t="shared" si="556"/>
        <v>66784.02</v>
      </c>
      <c r="GN612">
        <f t="shared" si="557"/>
        <v>0</v>
      </c>
      <c r="GO612">
        <f t="shared" si="558"/>
        <v>0</v>
      </c>
      <c r="GP612">
        <f t="shared" si="559"/>
        <v>66784.02</v>
      </c>
      <c r="GR612">
        <v>0</v>
      </c>
      <c r="GS612">
        <v>3</v>
      </c>
      <c r="GT612">
        <v>0</v>
      </c>
      <c r="GU612" t="s">
        <v>3</v>
      </c>
      <c r="GV612">
        <f t="shared" si="560"/>
        <v>0</v>
      </c>
      <c r="GW612">
        <v>1</v>
      </c>
      <c r="GX612">
        <f t="shared" si="561"/>
        <v>0</v>
      </c>
      <c r="HA612">
        <v>0</v>
      </c>
      <c r="HB612">
        <v>0</v>
      </c>
      <c r="HC612">
        <f t="shared" si="562"/>
        <v>0</v>
      </c>
      <c r="HE612" t="s">
        <v>3</v>
      </c>
      <c r="HF612" t="s">
        <v>3</v>
      </c>
      <c r="HM612" t="s">
        <v>3</v>
      </c>
      <c r="HN612" t="s">
        <v>3</v>
      </c>
      <c r="HO612" t="s">
        <v>3</v>
      </c>
      <c r="HP612" t="s">
        <v>3</v>
      </c>
      <c r="HQ612" t="s">
        <v>3</v>
      </c>
      <c r="IK612">
        <v>0</v>
      </c>
    </row>
    <row r="613" spans="1:245" x14ac:dyDescent="0.2">
      <c r="A613">
        <v>17</v>
      </c>
      <c r="B613">
        <v>1</v>
      </c>
      <c r="D613">
        <f>ROW(EtalonRes!A343)</f>
        <v>343</v>
      </c>
      <c r="E613" t="s">
        <v>3</v>
      </c>
      <c r="F613" t="s">
        <v>187</v>
      </c>
      <c r="G613" t="s">
        <v>188</v>
      </c>
      <c r="H613" t="s">
        <v>178</v>
      </c>
      <c r="I613">
        <v>5</v>
      </c>
      <c r="J613">
        <v>0</v>
      </c>
      <c r="K613">
        <v>5</v>
      </c>
      <c r="O613">
        <f t="shared" si="530"/>
        <v>18580.2</v>
      </c>
      <c r="P613">
        <f t="shared" si="531"/>
        <v>14.1</v>
      </c>
      <c r="Q613">
        <f t="shared" si="532"/>
        <v>52.35</v>
      </c>
      <c r="R613">
        <f t="shared" si="533"/>
        <v>0.75</v>
      </c>
      <c r="S613">
        <f t="shared" si="534"/>
        <v>18513.75</v>
      </c>
      <c r="T613">
        <f t="shared" si="535"/>
        <v>0</v>
      </c>
      <c r="U613">
        <f t="shared" si="536"/>
        <v>27.9</v>
      </c>
      <c r="V613">
        <f t="shared" si="537"/>
        <v>0</v>
      </c>
      <c r="W613">
        <f t="shared" si="538"/>
        <v>0</v>
      </c>
      <c r="X613">
        <f t="shared" si="539"/>
        <v>12959.63</v>
      </c>
      <c r="Y613">
        <f t="shared" si="540"/>
        <v>1851.38</v>
      </c>
      <c r="AA613">
        <v>-1</v>
      </c>
      <c r="AB613">
        <f t="shared" si="541"/>
        <v>3716.04</v>
      </c>
      <c r="AC613">
        <f>ROUND(((ES613*3)),6)</f>
        <v>2.82</v>
      </c>
      <c r="AD613">
        <f>ROUND(((((ET613*3))-((EU613*3)))+AE613),6)</f>
        <v>10.47</v>
      </c>
      <c r="AE613">
        <f>ROUND(((EU613*3)),6)</f>
        <v>0.15</v>
      </c>
      <c r="AF613">
        <f>ROUND(((EV613*3)),6)</f>
        <v>3702.75</v>
      </c>
      <c r="AG613">
        <f t="shared" si="542"/>
        <v>0</v>
      </c>
      <c r="AH613">
        <f>((EW613*3))</f>
        <v>5.58</v>
      </c>
      <c r="AI613">
        <f>((EX613*3))</f>
        <v>0</v>
      </c>
      <c r="AJ613">
        <f t="shared" si="543"/>
        <v>0</v>
      </c>
      <c r="AK613">
        <v>1238.68</v>
      </c>
      <c r="AL613">
        <v>0.94</v>
      </c>
      <c r="AM613">
        <v>3.49</v>
      </c>
      <c r="AN613">
        <v>0.05</v>
      </c>
      <c r="AO613">
        <v>1234.25</v>
      </c>
      <c r="AP613">
        <v>0</v>
      </c>
      <c r="AQ613">
        <v>1.86</v>
      </c>
      <c r="AR613">
        <v>0</v>
      </c>
      <c r="AS613">
        <v>0</v>
      </c>
      <c r="AT613">
        <v>70</v>
      </c>
      <c r="AU613">
        <v>10</v>
      </c>
      <c r="AV613">
        <v>1</v>
      </c>
      <c r="AW613">
        <v>1</v>
      </c>
      <c r="AZ613">
        <v>1</v>
      </c>
      <c r="BA613">
        <v>1</v>
      </c>
      <c r="BB613">
        <v>1</v>
      </c>
      <c r="BC613">
        <v>1</v>
      </c>
      <c r="BD613" t="s">
        <v>3</v>
      </c>
      <c r="BE613" t="s">
        <v>3</v>
      </c>
      <c r="BF613" t="s">
        <v>3</v>
      </c>
      <c r="BG613" t="s">
        <v>3</v>
      </c>
      <c r="BH613">
        <v>0</v>
      </c>
      <c r="BI613">
        <v>4</v>
      </c>
      <c r="BJ613" t="s">
        <v>189</v>
      </c>
      <c r="BM613">
        <v>0</v>
      </c>
      <c r="BN613">
        <v>0</v>
      </c>
      <c r="BO613" t="s">
        <v>3</v>
      </c>
      <c r="BP613">
        <v>0</v>
      </c>
      <c r="BQ613">
        <v>1</v>
      </c>
      <c r="BR613">
        <v>0</v>
      </c>
      <c r="BS613">
        <v>1</v>
      </c>
      <c r="BT613">
        <v>1</v>
      </c>
      <c r="BU613">
        <v>1</v>
      </c>
      <c r="BV613">
        <v>1</v>
      </c>
      <c r="BW613">
        <v>1</v>
      </c>
      <c r="BX613">
        <v>1</v>
      </c>
      <c r="BY613" t="s">
        <v>3</v>
      </c>
      <c r="BZ613">
        <v>70</v>
      </c>
      <c r="CA613">
        <v>10</v>
      </c>
      <c r="CB613" t="s">
        <v>3</v>
      </c>
      <c r="CE613">
        <v>0</v>
      </c>
      <c r="CF613">
        <v>0</v>
      </c>
      <c r="CG613">
        <v>0</v>
      </c>
      <c r="CM613">
        <v>0</v>
      </c>
      <c r="CN613" t="s">
        <v>3</v>
      </c>
      <c r="CO613">
        <v>0</v>
      </c>
      <c r="CP613">
        <f t="shared" si="544"/>
        <v>18580.2</v>
      </c>
      <c r="CQ613">
        <f t="shared" si="545"/>
        <v>2.82</v>
      </c>
      <c r="CR613">
        <f>(((((ET613*3))*BB613-((EU613*3))*BS613)+AE613*BS613)*AV613)</f>
        <v>10.47</v>
      </c>
      <c r="CS613">
        <f t="shared" si="546"/>
        <v>0.15</v>
      </c>
      <c r="CT613">
        <f t="shared" si="547"/>
        <v>3702.75</v>
      </c>
      <c r="CU613">
        <f t="shared" si="548"/>
        <v>0</v>
      </c>
      <c r="CV613">
        <f t="shared" si="549"/>
        <v>5.58</v>
      </c>
      <c r="CW613">
        <f t="shared" si="550"/>
        <v>0</v>
      </c>
      <c r="CX613">
        <f t="shared" si="551"/>
        <v>0</v>
      </c>
      <c r="CY613">
        <f t="shared" si="552"/>
        <v>12959.625</v>
      </c>
      <c r="CZ613">
        <f t="shared" si="553"/>
        <v>1851.375</v>
      </c>
      <c r="DC613" t="s">
        <v>3</v>
      </c>
      <c r="DD613" t="s">
        <v>163</v>
      </c>
      <c r="DE613" t="s">
        <v>163</v>
      </c>
      <c r="DF613" t="s">
        <v>163</v>
      </c>
      <c r="DG613" t="s">
        <v>163</v>
      </c>
      <c r="DH613" t="s">
        <v>3</v>
      </c>
      <c r="DI613" t="s">
        <v>163</v>
      </c>
      <c r="DJ613" t="s">
        <v>163</v>
      </c>
      <c r="DK613" t="s">
        <v>3</v>
      </c>
      <c r="DL613" t="s">
        <v>3</v>
      </c>
      <c r="DM613" t="s">
        <v>3</v>
      </c>
      <c r="DN613">
        <v>0</v>
      </c>
      <c r="DO613">
        <v>0</v>
      </c>
      <c r="DP613">
        <v>1</v>
      </c>
      <c r="DQ613">
        <v>1</v>
      </c>
      <c r="DU613">
        <v>1013</v>
      </c>
      <c r="DV613" t="s">
        <v>178</v>
      </c>
      <c r="DW613" t="s">
        <v>178</v>
      </c>
      <c r="DX613">
        <v>1</v>
      </c>
      <c r="DZ613" t="s">
        <v>3</v>
      </c>
      <c r="EA613" t="s">
        <v>3</v>
      </c>
      <c r="EB613" t="s">
        <v>3</v>
      </c>
      <c r="EC613" t="s">
        <v>3</v>
      </c>
      <c r="EE613">
        <v>1441815344</v>
      </c>
      <c r="EF613">
        <v>1</v>
      </c>
      <c r="EG613" t="s">
        <v>21</v>
      </c>
      <c r="EH613">
        <v>0</v>
      </c>
      <c r="EI613" t="s">
        <v>3</v>
      </c>
      <c r="EJ613">
        <v>4</v>
      </c>
      <c r="EK613">
        <v>0</v>
      </c>
      <c r="EL613" t="s">
        <v>22</v>
      </c>
      <c r="EM613" t="s">
        <v>23</v>
      </c>
      <c r="EO613" t="s">
        <v>3</v>
      </c>
      <c r="EQ613">
        <v>1024</v>
      </c>
      <c r="ER613">
        <v>1238.68</v>
      </c>
      <c r="ES613">
        <v>0.94</v>
      </c>
      <c r="ET613">
        <v>3.49</v>
      </c>
      <c r="EU613">
        <v>0.05</v>
      </c>
      <c r="EV613">
        <v>1234.25</v>
      </c>
      <c r="EW613">
        <v>1.86</v>
      </c>
      <c r="EX613">
        <v>0</v>
      </c>
      <c r="EY613">
        <v>0</v>
      </c>
      <c r="FQ613">
        <v>0</v>
      </c>
      <c r="FR613">
        <f t="shared" si="554"/>
        <v>0</v>
      </c>
      <c r="FS613">
        <v>0</v>
      </c>
      <c r="FX613">
        <v>70</v>
      </c>
      <c r="FY613">
        <v>10</v>
      </c>
      <c r="GA613" t="s">
        <v>3</v>
      </c>
      <c r="GD613">
        <v>0</v>
      </c>
      <c r="GF613">
        <v>1840343037</v>
      </c>
      <c r="GG613">
        <v>2</v>
      </c>
      <c r="GH613">
        <v>1</v>
      </c>
      <c r="GI613">
        <v>-2</v>
      </c>
      <c r="GJ613">
        <v>0</v>
      </c>
      <c r="GK613">
        <f>ROUND(R613*(R12)/100,2)</f>
        <v>0.81</v>
      </c>
      <c r="GL613">
        <f t="shared" si="555"/>
        <v>0</v>
      </c>
      <c r="GM613">
        <f t="shared" si="556"/>
        <v>33392.019999999997</v>
      </c>
      <c r="GN613">
        <f t="shared" si="557"/>
        <v>0</v>
      </c>
      <c r="GO613">
        <f t="shared" si="558"/>
        <v>0</v>
      </c>
      <c r="GP613">
        <f t="shared" si="559"/>
        <v>33392.019999999997</v>
      </c>
      <c r="GR613">
        <v>0</v>
      </c>
      <c r="GS613">
        <v>3</v>
      </c>
      <c r="GT613">
        <v>0</v>
      </c>
      <c r="GU613" t="s">
        <v>3</v>
      </c>
      <c r="GV613">
        <f t="shared" si="560"/>
        <v>0</v>
      </c>
      <c r="GW613">
        <v>1</v>
      </c>
      <c r="GX613">
        <f t="shared" si="561"/>
        <v>0</v>
      </c>
      <c r="HA613">
        <v>0</v>
      </c>
      <c r="HB613">
        <v>0</v>
      </c>
      <c r="HC613">
        <f t="shared" si="562"/>
        <v>0</v>
      </c>
      <c r="HE613" t="s">
        <v>3</v>
      </c>
      <c r="HF613" t="s">
        <v>3</v>
      </c>
      <c r="HM613" t="s">
        <v>3</v>
      </c>
      <c r="HN613" t="s">
        <v>3</v>
      </c>
      <c r="HO613" t="s">
        <v>3</v>
      </c>
      <c r="HP613" t="s">
        <v>3</v>
      </c>
      <c r="HQ613" t="s">
        <v>3</v>
      </c>
      <c r="IK613">
        <v>0</v>
      </c>
    </row>
    <row r="614" spans="1:245" x14ac:dyDescent="0.2">
      <c r="A614">
        <v>17</v>
      </c>
      <c r="B614">
        <v>1</v>
      </c>
      <c r="D614">
        <f>ROW(EtalonRes!A346)</f>
        <v>346</v>
      </c>
      <c r="E614" t="s">
        <v>3</v>
      </c>
      <c r="F614" t="s">
        <v>184</v>
      </c>
      <c r="G614" t="s">
        <v>185</v>
      </c>
      <c r="H614" t="s">
        <v>178</v>
      </c>
      <c r="I614">
        <v>5</v>
      </c>
      <c r="J614">
        <v>0</v>
      </c>
      <c r="K614">
        <v>5</v>
      </c>
      <c r="O614">
        <f t="shared" si="530"/>
        <v>8250.5</v>
      </c>
      <c r="P614">
        <f t="shared" si="531"/>
        <v>4.7</v>
      </c>
      <c r="Q614">
        <f t="shared" si="532"/>
        <v>17.45</v>
      </c>
      <c r="R614">
        <f t="shared" si="533"/>
        <v>0.25</v>
      </c>
      <c r="S614">
        <f t="shared" si="534"/>
        <v>8228.35</v>
      </c>
      <c r="T614">
        <f t="shared" si="535"/>
        <v>0</v>
      </c>
      <c r="U614">
        <f t="shared" si="536"/>
        <v>12.4</v>
      </c>
      <c r="V614">
        <f t="shared" si="537"/>
        <v>0</v>
      </c>
      <c r="W614">
        <f t="shared" si="538"/>
        <v>0</v>
      </c>
      <c r="X614">
        <f t="shared" si="539"/>
        <v>5759.85</v>
      </c>
      <c r="Y614">
        <f t="shared" si="540"/>
        <v>822.84</v>
      </c>
      <c r="AA614">
        <v>-1</v>
      </c>
      <c r="AB614">
        <f t="shared" si="541"/>
        <v>1650.1</v>
      </c>
      <c r="AC614">
        <f>ROUND((ES614),6)</f>
        <v>0.94</v>
      </c>
      <c r="AD614">
        <f>ROUND((((ET614)-(EU614))+AE614),6)</f>
        <v>3.49</v>
      </c>
      <c r="AE614">
        <f>ROUND((EU614),6)</f>
        <v>0.05</v>
      </c>
      <c r="AF614">
        <f>ROUND((EV614),6)</f>
        <v>1645.67</v>
      </c>
      <c r="AG614">
        <f t="shared" si="542"/>
        <v>0</v>
      </c>
      <c r="AH614">
        <f>(EW614)</f>
        <v>2.48</v>
      </c>
      <c r="AI614">
        <f>(EX614)</f>
        <v>0</v>
      </c>
      <c r="AJ614">
        <f t="shared" si="543"/>
        <v>0</v>
      </c>
      <c r="AK614">
        <v>1650.1</v>
      </c>
      <c r="AL614">
        <v>0.94</v>
      </c>
      <c r="AM614">
        <v>3.49</v>
      </c>
      <c r="AN614">
        <v>0.05</v>
      </c>
      <c r="AO614">
        <v>1645.67</v>
      </c>
      <c r="AP614">
        <v>0</v>
      </c>
      <c r="AQ614">
        <v>2.48</v>
      </c>
      <c r="AR614">
        <v>0</v>
      </c>
      <c r="AS614">
        <v>0</v>
      </c>
      <c r="AT614">
        <v>70</v>
      </c>
      <c r="AU614">
        <v>10</v>
      </c>
      <c r="AV614">
        <v>1</v>
      </c>
      <c r="AW614">
        <v>1</v>
      </c>
      <c r="AZ614">
        <v>1</v>
      </c>
      <c r="BA614">
        <v>1</v>
      </c>
      <c r="BB614">
        <v>1</v>
      </c>
      <c r="BC614">
        <v>1</v>
      </c>
      <c r="BD614" t="s">
        <v>3</v>
      </c>
      <c r="BE614" t="s">
        <v>3</v>
      </c>
      <c r="BF614" t="s">
        <v>3</v>
      </c>
      <c r="BG614" t="s">
        <v>3</v>
      </c>
      <c r="BH614">
        <v>0</v>
      </c>
      <c r="BI614">
        <v>4</v>
      </c>
      <c r="BJ614" t="s">
        <v>186</v>
      </c>
      <c r="BM614">
        <v>0</v>
      </c>
      <c r="BN614">
        <v>0</v>
      </c>
      <c r="BO614" t="s">
        <v>3</v>
      </c>
      <c r="BP614">
        <v>0</v>
      </c>
      <c r="BQ614">
        <v>1</v>
      </c>
      <c r="BR614">
        <v>0</v>
      </c>
      <c r="BS614">
        <v>1</v>
      </c>
      <c r="BT614">
        <v>1</v>
      </c>
      <c r="BU614">
        <v>1</v>
      </c>
      <c r="BV614">
        <v>1</v>
      </c>
      <c r="BW614">
        <v>1</v>
      </c>
      <c r="BX614">
        <v>1</v>
      </c>
      <c r="BY614" t="s">
        <v>3</v>
      </c>
      <c r="BZ614">
        <v>70</v>
      </c>
      <c r="CA614">
        <v>10</v>
      </c>
      <c r="CB614" t="s">
        <v>3</v>
      </c>
      <c r="CE614">
        <v>0</v>
      </c>
      <c r="CF614">
        <v>0</v>
      </c>
      <c r="CG614">
        <v>0</v>
      </c>
      <c r="CM614">
        <v>0</v>
      </c>
      <c r="CN614" t="s">
        <v>3</v>
      </c>
      <c r="CO614">
        <v>0</v>
      </c>
      <c r="CP614">
        <f t="shared" si="544"/>
        <v>8250.5</v>
      </c>
      <c r="CQ614">
        <f t="shared" si="545"/>
        <v>0.94</v>
      </c>
      <c r="CR614">
        <f>((((ET614)*BB614-(EU614)*BS614)+AE614*BS614)*AV614)</f>
        <v>3.49</v>
      </c>
      <c r="CS614">
        <f t="shared" si="546"/>
        <v>0.05</v>
      </c>
      <c r="CT614">
        <f t="shared" si="547"/>
        <v>1645.67</v>
      </c>
      <c r="CU614">
        <f t="shared" si="548"/>
        <v>0</v>
      </c>
      <c r="CV614">
        <f t="shared" si="549"/>
        <v>2.48</v>
      </c>
      <c r="CW614">
        <f t="shared" si="550"/>
        <v>0</v>
      </c>
      <c r="CX614">
        <f t="shared" si="551"/>
        <v>0</v>
      </c>
      <c r="CY614">
        <f t="shared" si="552"/>
        <v>5759.8450000000003</v>
      </c>
      <c r="CZ614">
        <f t="shared" si="553"/>
        <v>822.83500000000004</v>
      </c>
      <c r="DC614" t="s">
        <v>3</v>
      </c>
      <c r="DD614" t="s">
        <v>3</v>
      </c>
      <c r="DE614" t="s">
        <v>3</v>
      </c>
      <c r="DF614" t="s">
        <v>3</v>
      </c>
      <c r="DG614" t="s">
        <v>3</v>
      </c>
      <c r="DH614" t="s">
        <v>3</v>
      </c>
      <c r="DI614" t="s">
        <v>3</v>
      </c>
      <c r="DJ614" t="s">
        <v>3</v>
      </c>
      <c r="DK614" t="s">
        <v>3</v>
      </c>
      <c r="DL614" t="s">
        <v>3</v>
      </c>
      <c r="DM614" t="s">
        <v>3</v>
      </c>
      <c r="DN614">
        <v>0</v>
      </c>
      <c r="DO614">
        <v>0</v>
      </c>
      <c r="DP614">
        <v>1</v>
      </c>
      <c r="DQ614">
        <v>1</v>
      </c>
      <c r="DU614">
        <v>1013</v>
      </c>
      <c r="DV614" t="s">
        <v>178</v>
      </c>
      <c r="DW614" t="s">
        <v>178</v>
      </c>
      <c r="DX614">
        <v>1</v>
      </c>
      <c r="DZ614" t="s">
        <v>3</v>
      </c>
      <c r="EA614" t="s">
        <v>3</v>
      </c>
      <c r="EB614" t="s">
        <v>3</v>
      </c>
      <c r="EC614" t="s">
        <v>3</v>
      </c>
      <c r="EE614">
        <v>1441815344</v>
      </c>
      <c r="EF614">
        <v>1</v>
      </c>
      <c r="EG614" t="s">
        <v>21</v>
      </c>
      <c r="EH614">
        <v>0</v>
      </c>
      <c r="EI614" t="s">
        <v>3</v>
      </c>
      <c r="EJ614">
        <v>4</v>
      </c>
      <c r="EK614">
        <v>0</v>
      </c>
      <c r="EL614" t="s">
        <v>22</v>
      </c>
      <c r="EM614" t="s">
        <v>23</v>
      </c>
      <c r="EO614" t="s">
        <v>3</v>
      </c>
      <c r="EQ614">
        <v>1024</v>
      </c>
      <c r="ER614">
        <v>1650.1</v>
      </c>
      <c r="ES614">
        <v>0.94</v>
      </c>
      <c r="ET614">
        <v>3.49</v>
      </c>
      <c r="EU614">
        <v>0.05</v>
      </c>
      <c r="EV614">
        <v>1645.67</v>
      </c>
      <c r="EW614">
        <v>2.48</v>
      </c>
      <c r="EX614">
        <v>0</v>
      </c>
      <c r="EY614">
        <v>0</v>
      </c>
      <c r="FQ614">
        <v>0</v>
      </c>
      <c r="FR614">
        <f t="shared" si="554"/>
        <v>0</v>
      </c>
      <c r="FS614">
        <v>0</v>
      </c>
      <c r="FX614">
        <v>70</v>
      </c>
      <c r="FY614">
        <v>10</v>
      </c>
      <c r="GA614" t="s">
        <v>3</v>
      </c>
      <c r="GD614">
        <v>0</v>
      </c>
      <c r="GF614">
        <v>-837754666</v>
      </c>
      <c r="GG614">
        <v>2</v>
      </c>
      <c r="GH614">
        <v>1</v>
      </c>
      <c r="GI614">
        <v>-2</v>
      </c>
      <c r="GJ614">
        <v>0</v>
      </c>
      <c r="GK614">
        <f>ROUND(R614*(R12)/100,2)</f>
        <v>0.27</v>
      </c>
      <c r="GL614">
        <f t="shared" si="555"/>
        <v>0</v>
      </c>
      <c r="GM614">
        <f t="shared" si="556"/>
        <v>14833.46</v>
      </c>
      <c r="GN614">
        <f t="shared" si="557"/>
        <v>0</v>
      </c>
      <c r="GO614">
        <f t="shared" si="558"/>
        <v>0</v>
      </c>
      <c r="GP614">
        <f t="shared" si="559"/>
        <v>14833.46</v>
      </c>
      <c r="GR614">
        <v>0</v>
      </c>
      <c r="GS614">
        <v>3</v>
      </c>
      <c r="GT614">
        <v>0</v>
      </c>
      <c r="GU614" t="s">
        <v>3</v>
      </c>
      <c r="GV614">
        <f t="shared" si="560"/>
        <v>0</v>
      </c>
      <c r="GW614">
        <v>1</v>
      </c>
      <c r="GX614">
        <f t="shared" si="561"/>
        <v>0</v>
      </c>
      <c r="HA614">
        <v>0</v>
      </c>
      <c r="HB614">
        <v>0</v>
      </c>
      <c r="HC614">
        <f t="shared" si="562"/>
        <v>0</v>
      </c>
      <c r="HE614" t="s">
        <v>3</v>
      </c>
      <c r="HF614" t="s">
        <v>3</v>
      </c>
      <c r="HM614" t="s">
        <v>3</v>
      </c>
      <c r="HN614" t="s">
        <v>3</v>
      </c>
      <c r="HO614" t="s">
        <v>3</v>
      </c>
      <c r="HP614" t="s">
        <v>3</v>
      </c>
      <c r="HQ614" t="s">
        <v>3</v>
      </c>
      <c r="IK614">
        <v>0</v>
      </c>
    </row>
    <row r="616" spans="1:245" x14ac:dyDescent="0.2">
      <c r="A616" s="2">
        <v>51</v>
      </c>
      <c r="B616" s="2">
        <f>B602</f>
        <v>1</v>
      </c>
      <c r="C616" s="2">
        <f>A602</f>
        <v>5</v>
      </c>
      <c r="D616" s="2">
        <f>ROW(A602)</f>
        <v>602</v>
      </c>
      <c r="E616" s="2"/>
      <c r="F616" s="2" t="str">
        <f>IF(F602&lt;&gt;"",F602,"")</f>
        <v>Новый подраздел</v>
      </c>
      <c r="G616" s="2" t="str">
        <f>IF(G602&lt;&gt;"",G602,"")</f>
        <v>Вентиляция и кондиционирование</v>
      </c>
      <c r="H616" s="2">
        <v>0</v>
      </c>
      <c r="I616" s="2"/>
      <c r="J616" s="2"/>
      <c r="K616" s="2"/>
      <c r="L616" s="2"/>
      <c r="M616" s="2"/>
      <c r="N616" s="2"/>
      <c r="O616" s="2">
        <f t="shared" ref="O616:T616" si="563">ROUND(AB616,2)</f>
        <v>47359.7</v>
      </c>
      <c r="P616" s="2">
        <f t="shared" si="563"/>
        <v>16.8</v>
      </c>
      <c r="Q616" s="2">
        <f t="shared" si="563"/>
        <v>52.8</v>
      </c>
      <c r="R616" s="2">
        <f t="shared" si="563"/>
        <v>0.7</v>
      </c>
      <c r="S616" s="2">
        <f t="shared" si="563"/>
        <v>47290.1</v>
      </c>
      <c r="T616" s="2">
        <f t="shared" si="563"/>
        <v>0</v>
      </c>
      <c r="U616" s="2">
        <f>AH616</f>
        <v>74.2</v>
      </c>
      <c r="V616" s="2">
        <f>AI616</f>
        <v>0</v>
      </c>
      <c r="W616" s="2">
        <f>ROUND(AJ616,2)</f>
        <v>0</v>
      </c>
      <c r="X616" s="2">
        <f>ROUND(AK616,2)</f>
        <v>33103.07</v>
      </c>
      <c r="Y616" s="2">
        <f>ROUND(AL616,2)</f>
        <v>4729.01</v>
      </c>
      <c r="Z616" s="2"/>
      <c r="AA616" s="2"/>
      <c r="AB616" s="2">
        <f>ROUND(SUMIF(AA606:AA614,"=1471718271",O606:O614),2)</f>
        <v>47359.7</v>
      </c>
      <c r="AC616" s="2">
        <f>ROUND(SUMIF(AA606:AA614,"=1471718271",P606:P614),2)</f>
        <v>16.8</v>
      </c>
      <c r="AD616" s="2">
        <f>ROUND(SUMIF(AA606:AA614,"=1471718271",Q606:Q614),2)</f>
        <v>52.8</v>
      </c>
      <c r="AE616" s="2">
        <f>ROUND(SUMIF(AA606:AA614,"=1471718271",R606:R614),2)</f>
        <v>0.7</v>
      </c>
      <c r="AF616" s="2">
        <f>ROUND(SUMIF(AA606:AA614,"=1471718271",S606:S614),2)</f>
        <v>47290.1</v>
      </c>
      <c r="AG616" s="2">
        <f>ROUND(SUMIF(AA606:AA614,"=1471718271",T606:T614),2)</f>
        <v>0</v>
      </c>
      <c r="AH616" s="2">
        <f>SUMIF(AA606:AA614,"=1471718271",U606:U614)</f>
        <v>74.2</v>
      </c>
      <c r="AI616" s="2">
        <f>SUMIF(AA606:AA614,"=1471718271",V606:V614)</f>
        <v>0</v>
      </c>
      <c r="AJ616" s="2">
        <f>ROUND(SUMIF(AA606:AA614,"=1471718271",W606:W614),2)</f>
        <v>0</v>
      </c>
      <c r="AK616" s="2">
        <f>ROUND(SUMIF(AA606:AA614,"=1471718271",X606:X614),2)</f>
        <v>33103.07</v>
      </c>
      <c r="AL616" s="2">
        <f>ROUND(SUMIF(AA606:AA614,"=1471718271",Y606:Y614),2)</f>
        <v>4729.01</v>
      </c>
      <c r="AM616" s="2"/>
      <c r="AN616" s="2"/>
      <c r="AO616" s="2">
        <f t="shared" ref="AO616:BD616" si="564">ROUND(BX616,2)</f>
        <v>0</v>
      </c>
      <c r="AP616" s="2">
        <f t="shared" si="564"/>
        <v>0</v>
      </c>
      <c r="AQ616" s="2">
        <f t="shared" si="564"/>
        <v>0</v>
      </c>
      <c r="AR616" s="2">
        <f t="shared" si="564"/>
        <v>85192.54</v>
      </c>
      <c r="AS616" s="2">
        <f t="shared" si="564"/>
        <v>0</v>
      </c>
      <c r="AT616" s="2">
        <f t="shared" si="564"/>
        <v>0</v>
      </c>
      <c r="AU616" s="2">
        <f t="shared" si="564"/>
        <v>85192.54</v>
      </c>
      <c r="AV616" s="2">
        <f t="shared" si="564"/>
        <v>16.8</v>
      </c>
      <c r="AW616" s="2">
        <f t="shared" si="564"/>
        <v>16.8</v>
      </c>
      <c r="AX616" s="2">
        <f t="shared" si="564"/>
        <v>0</v>
      </c>
      <c r="AY616" s="2">
        <f t="shared" si="564"/>
        <v>16.8</v>
      </c>
      <c r="AZ616" s="2">
        <f t="shared" si="564"/>
        <v>0</v>
      </c>
      <c r="BA616" s="2">
        <f t="shared" si="564"/>
        <v>0</v>
      </c>
      <c r="BB616" s="2">
        <f t="shared" si="564"/>
        <v>0</v>
      </c>
      <c r="BC616" s="2">
        <f t="shared" si="564"/>
        <v>0</v>
      </c>
      <c r="BD616" s="2">
        <f t="shared" si="564"/>
        <v>0</v>
      </c>
      <c r="BE616" s="2"/>
      <c r="BF616" s="2"/>
      <c r="BG616" s="2"/>
      <c r="BH616" s="2"/>
      <c r="BI616" s="2"/>
      <c r="BJ616" s="2"/>
      <c r="BK616" s="2"/>
      <c r="BL616" s="2"/>
      <c r="BM616" s="2"/>
      <c r="BN616" s="2"/>
      <c r="BO616" s="2"/>
      <c r="BP616" s="2"/>
      <c r="BQ616" s="2"/>
      <c r="BR616" s="2"/>
      <c r="BS616" s="2"/>
      <c r="BT616" s="2"/>
      <c r="BU616" s="2"/>
      <c r="BV616" s="2"/>
      <c r="BW616" s="2"/>
      <c r="BX616" s="2">
        <f>ROUND(SUMIF(AA606:AA614,"=1471718271",FQ606:FQ614),2)</f>
        <v>0</v>
      </c>
      <c r="BY616" s="2">
        <f>ROUND(SUMIF(AA606:AA614,"=1471718271",FR606:FR614),2)</f>
        <v>0</v>
      </c>
      <c r="BZ616" s="2">
        <f>ROUND(SUMIF(AA606:AA614,"=1471718271",GL606:GL614),2)</f>
        <v>0</v>
      </c>
      <c r="CA616" s="2">
        <f>ROUND(SUMIF(AA606:AA614,"=1471718271",GM606:GM614),2)</f>
        <v>85192.54</v>
      </c>
      <c r="CB616" s="2">
        <f>ROUND(SUMIF(AA606:AA614,"=1471718271",GN606:GN614),2)</f>
        <v>0</v>
      </c>
      <c r="CC616" s="2">
        <f>ROUND(SUMIF(AA606:AA614,"=1471718271",GO606:GO614),2)</f>
        <v>0</v>
      </c>
      <c r="CD616" s="2">
        <f>ROUND(SUMIF(AA606:AA614,"=1471718271",GP606:GP614),2)</f>
        <v>85192.54</v>
      </c>
      <c r="CE616" s="2">
        <f>AC616-BX616</f>
        <v>16.8</v>
      </c>
      <c r="CF616" s="2">
        <f>AC616-BY616</f>
        <v>16.8</v>
      </c>
      <c r="CG616" s="2">
        <f>BX616-BZ616</f>
        <v>0</v>
      </c>
      <c r="CH616" s="2">
        <f>AC616-BX616-BY616+BZ616</f>
        <v>16.8</v>
      </c>
      <c r="CI616" s="2">
        <f>BY616-BZ616</f>
        <v>0</v>
      </c>
      <c r="CJ616" s="2">
        <f>ROUND(SUMIF(AA606:AA614,"=1471718271",GX606:GX614),2)</f>
        <v>0</v>
      </c>
      <c r="CK616" s="2">
        <f>ROUND(SUMIF(AA606:AA614,"=1471718271",GY606:GY614),2)</f>
        <v>0</v>
      </c>
      <c r="CL616" s="2">
        <f>ROUND(SUMIF(AA606:AA614,"=1471718271",GZ606:GZ614),2)</f>
        <v>0</v>
      </c>
      <c r="CM616" s="2">
        <f>ROUND(SUMIF(AA606:AA614,"=1471718271",HD606:HD614),2)</f>
        <v>0</v>
      </c>
      <c r="CN616" s="2"/>
      <c r="CO616" s="2"/>
      <c r="CP616" s="2"/>
      <c r="CQ616" s="2"/>
      <c r="CR616" s="2"/>
      <c r="CS616" s="2"/>
      <c r="CT616" s="2"/>
      <c r="CU616" s="2"/>
      <c r="CV616" s="2"/>
      <c r="CW616" s="2"/>
      <c r="CX616" s="2"/>
      <c r="CY616" s="2"/>
      <c r="CZ616" s="2"/>
      <c r="DA616" s="2"/>
      <c r="DB616" s="2"/>
      <c r="DC616" s="2"/>
      <c r="DD616" s="2"/>
      <c r="DE616" s="2"/>
      <c r="DF616" s="2"/>
      <c r="DG616" s="3"/>
      <c r="DH616" s="3"/>
      <c r="DI616" s="3"/>
      <c r="DJ616" s="3"/>
      <c r="DK616" s="3"/>
      <c r="DL616" s="3"/>
      <c r="DM616" s="3"/>
      <c r="DN616" s="3"/>
      <c r="DO616" s="3"/>
      <c r="DP616" s="3"/>
      <c r="DQ616" s="3"/>
      <c r="DR616" s="3"/>
      <c r="DS616" s="3"/>
      <c r="DT616" s="3"/>
      <c r="DU616" s="3"/>
      <c r="DV616" s="3"/>
      <c r="DW616" s="3"/>
      <c r="DX616" s="3"/>
      <c r="DY616" s="3"/>
      <c r="DZ616" s="3"/>
      <c r="EA616" s="3"/>
      <c r="EB616" s="3"/>
      <c r="EC616" s="3"/>
      <c r="ED616" s="3"/>
      <c r="EE616" s="3"/>
      <c r="EF616" s="3"/>
      <c r="EG616" s="3"/>
      <c r="EH616" s="3"/>
      <c r="EI616" s="3"/>
      <c r="EJ616" s="3"/>
      <c r="EK616" s="3"/>
      <c r="EL616" s="3"/>
      <c r="EM616" s="3"/>
      <c r="EN616" s="3"/>
      <c r="EO616" s="3"/>
      <c r="EP616" s="3"/>
      <c r="EQ616" s="3"/>
      <c r="ER616" s="3"/>
      <c r="ES616" s="3"/>
      <c r="ET616" s="3"/>
      <c r="EU616" s="3"/>
      <c r="EV616" s="3"/>
      <c r="EW616" s="3"/>
      <c r="EX616" s="3"/>
      <c r="EY616" s="3"/>
      <c r="EZ616" s="3"/>
      <c r="FA616" s="3"/>
      <c r="FB616" s="3"/>
      <c r="FC616" s="3"/>
      <c r="FD616" s="3"/>
      <c r="FE616" s="3"/>
      <c r="FF616" s="3"/>
      <c r="FG616" s="3"/>
      <c r="FH616" s="3"/>
      <c r="FI616" s="3"/>
      <c r="FJ616" s="3"/>
      <c r="FK616" s="3"/>
      <c r="FL616" s="3"/>
      <c r="FM616" s="3"/>
      <c r="FN616" s="3"/>
      <c r="FO616" s="3"/>
      <c r="FP616" s="3"/>
      <c r="FQ616" s="3"/>
      <c r="FR616" s="3"/>
      <c r="FS616" s="3"/>
      <c r="FT616" s="3"/>
      <c r="FU616" s="3"/>
      <c r="FV616" s="3"/>
      <c r="FW616" s="3"/>
      <c r="FX616" s="3"/>
      <c r="FY616" s="3"/>
      <c r="FZ616" s="3"/>
      <c r="GA616" s="3"/>
      <c r="GB616" s="3"/>
      <c r="GC616" s="3"/>
      <c r="GD616" s="3"/>
      <c r="GE616" s="3"/>
      <c r="GF616" s="3"/>
      <c r="GG616" s="3"/>
      <c r="GH616" s="3"/>
      <c r="GI616" s="3"/>
      <c r="GJ616" s="3"/>
      <c r="GK616" s="3"/>
      <c r="GL616" s="3"/>
      <c r="GM616" s="3"/>
      <c r="GN616" s="3"/>
      <c r="GO616" s="3"/>
      <c r="GP616" s="3"/>
      <c r="GQ616" s="3"/>
      <c r="GR616" s="3"/>
      <c r="GS616" s="3"/>
      <c r="GT616" s="3"/>
      <c r="GU616" s="3"/>
      <c r="GV616" s="3"/>
      <c r="GW616" s="3"/>
      <c r="GX616" s="3">
        <v>0</v>
      </c>
    </row>
    <row r="618" spans="1:245" x14ac:dyDescent="0.2">
      <c r="A618" s="4">
        <v>50</v>
      </c>
      <c r="B618" s="4">
        <v>0</v>
      </c>
      <c r="C618" s="4">
        <v>0</v>
      </c>
      <c r="D618" s="4">
        <v>1</v>
      </c>
      <c r="E618" s="4">
        <v>201</v>
      </c>
      <c r="F618" s="4">
        <f>ROUND(Source!O616,O618)</f>
        <v>47359.7</v>
      </c>
      <c r="G618" s="4" t="s">
        <v>98</v>
      </c>
      <c r="H618" s="4" t="s">
        <v>99</v>
      </c>
      <c r="I618" s="4"/>
      <c r="J618" s="4"/>
      <c r="K618" s="4">
        <v>201</v>
      </c>
      <c r="L618" s="4">
        <v>1</v>
      </c>
      <c r="M618" s="4">
        <v>3</v>
      </c>
      <c r="N618" s="4" t="s">
        <v>3</v>
      </c>
      <c r="O618" s="4">
        <v>2</v>
      </c>
      <c r="P618" s="4"/>
      <c r="Q618" s="4"/>
      <c r="R618" s="4"/>
      <c r="S618" s="4"/>
      <c r="T618" s="4"/>
      <c r="U618" s="4"/>
      <c r="V618" s="4"/>
      <c r="W618" s="4">
        <v>47359.7</v>
      </c>
      <c r="X618" s="4">
        <v>1</v>
      </c>
      <c r="Y618" s="4">
        <v>47359.7</v>
      </c>
      <c r="Z618" s="4"/>
      <c r="AA618" s="4"/>
      <c r="AB618" s="4"/>
    </row>
    <row r="619" spans="1:245" x14ac:dyDescent="0.2">
      <c r="A619" s="4">
        <v>50</v>
      </c>
      <c r="B619" s="4">
        <v>0</v>
      </c>
      <c r="C619" s="4">
        <v>0</v>
      </c>
      <c r="D619" s="4">
        <v>1</v>
      </c>
      <c r="E619" s="4">
        <v>202</v>
      </c>
      <c r="F619" s="4">
        <f>ROUND(Source!P616,O619)</f>
        <v>16.8</v>
      </c>
      <c r="G619" s="4" t="s">
        <v>100</v>
      </c>
      <c r="H619" s="4" t="s">
        <v>101</v>
      </c>
      <c r="I619" s="4"/>
      <c r="J619" s="4"/>
      <c r="K619" s="4">
        <v>202</v>
      </c>
      <c r="L619" s="4">
        <v>2</v>
      </c>
      <c r="M619" s="4">
        <v>3</v>
      </c>
      <c r="N619" s="4" t="s">
        <v>3</v>
      </c>
      <c r="O619" s="4">
        <v>2</v>
      </c>
      <c r="P619" s="4"/>
      <c r="Q619" s="4"/>
      <c r="R619" s="4"/>
      <c r="S619" s="4"/>
      <c r="T619" s="4"/>
      <c r="U619" s="4"/>
      <c r="V619" s="4"/>
      <c r="W619" s="4">
        <v>16.8</v>
      </c>
      <c r="X619" s="4">
        <v>1</v>
      </c>
      <c r="Y619" s="4">
        <v>16.8</v>
      </c>
      <c r="Z619" s="4"/>
      <c r="AA619" s="4"/>
      <c r="AB619" s="4"/>
    </row>
    <row r="620" spans="1:245" x14ac:dyDescent="0.2">
      <c r="A620" s="4">
        <v>50</v>
      </c>
      <c r="B620" s="4">
        <v>0</v>
      </c>
      <c r="C620" s="4">
        <v>0</v>
      </c>
      <c r="D620" s="4">
        <v>1</v>
      </c>
      <c r="E620" s="4">
        <v>222</v>
      </c>
      <c r="F620" s="4">
        <f>ROUND(Source!AO616,O620)</f>
        <v>0</v>
      </c>
      <c r="G620" s="4" t="s">
        <v>102</v>
      </c>
      <c r="H620" s="4" t="s">
        <v>103</v>
      </c>
      <c r="I620" s="4"/>
      <c r="J620" s="4"/>
      <c r="K620" s="4">
        <v>222</v>
      </c>
      <c r="L620" s="4">
        <v>3</v>
      </c>
      <c r="M620" s="4">
        <v>3</v>
      </c>
      <c r="N620" s="4" t="s">
        <v>3</v>
      </c>
      <c r="O620" s="4">
        <v>2</v>
      </c>
      <c r="P620" s="4"/>
      <c r="Q620" s="4"/>
      <c r="R620" s="4"/>
      <c r="S620" s="4"/>
      <c r="T620" s="4"/>
      <c r="U620" s="4"/>
      <c r="V620" s="4"/>
      <c r="W620" s="4">
        <v>0</v>
      </c>
      <c r="X620" s="4">
        <v>1</v>
      </c>
      <c r="Y620" s="4">
        <v>0</v>
      </c>
      <c r="Z620" s="4"/>
      <c r="AA620" s="4"/>
      <c r="AB620" s="4"/>
    </row>
    <row r="621" spans="1:245" x14ac:dyDescent="0.2">
      <c r="A621" s="4">
        <v>50</v>
      </c>
      <c r="B621" s="4">
        <v>0</v>
      </c>
      <c r="C621" s="4">
        <v>0</v>
      </c>
      <c r="D621" s="4">
        <v>1</v>
      </c>
      <c r="E621" s="4">
        <v>225</v>
      </c>
      <c r="F621" s="4">
        <f>ROUND(Source!AV616,O621)</f>
        <v>16.8</v>
      </c>
      <c r="G621" s="4" t="s">
        <v>104</v>
      </c>
      <c r="H621" s="4" t="s">
        <v>105</v>
      </c>
      <c r="I621" s="4"/>
      <c r="J621" s="4"/>
      <c r="K621" s="4">
        <v>225</v>
      </c>
      <c r="L621" s="4">
        <v>4</v>
      </c>
      <c r="M621" s="4">
        <v>3</v>
      </c>
      <c r="N621" s="4" t="s">
        <v>3</v>
      </c>
      <c r="O621" s="4">
        <v>2</v>
      </c>
      <c r="P621" s="4"/>
      <c r="Q621" s="4"/>
      <c r="R621" s="4"/>
      <c r="S621" s="4"/>
      <c r="T621" s="4"/>
      <c r="U621" s="4"/>
      <c r="V621" s="4"/>
      <c r="W621" s="4">
        <v>16.8</v>
      </c>
      <c r="X621" s="4">
        <v>1</v>
      </c>
      <c r="Y621" s="4">
        <v>16.8</v>
      </c>
      <c r="Z621" s="4"/>
      <c r="AA621" s="4"/>
      <c r="AB621" s="4"/>
    </row>
    <row r="622" spans="1:245" x14ac:dyDescent="0.2">
      <c r="A622" s="4">
        <v>50</v>
      </c>
      <c r="B622" s="4">
        <v>0</v>
      </c>
      <c r="C622" s="4">
        <v>0</v>
      </c>
      <c r="D622" s="4">
        <v>1</v>
      </c>
      <c r="E622" s="4">
        <v>226</v>
      </c>
      <c r="F622" s="4">
        <f>ROUND(Source!AW616,O622)</f>
        <v>16.8</v>
      </c>
      <c r="G622" s="4" t="s">
        <v>106</v>
      </c>
      <c r="H622" s="4" t="s">
        <v>107</v>
      </c>
      <c r="I622" s="4"/>
      <c r="J622" s="4"/>
      <c r="K622" s="4">
        <v>226</v>
      </c>
      <c r="L622" s="4">
        <v>5</v>
      </c>
      <c r="M622" s="4">
        <v>3</v>
      </c>
      <c r="N622" s="4" t="s">
        <v>3</v>
      </c>
      <c r="O622" s="4">
        <v>2</v>
      </c>
      <c r="P622" s="4"/>
      <c r="Q622" s="4"/>
      <c r="R622" s="4"/>
      <c r="S622" s="4"/>
      <c r="T622" s="4"/>
      <c r="U622" s="4"/>
      <c r="V622" s="4"/>
      <c r="W622" s="4">
        <v>16.8</v>
      </c>
      <c r="X622" s="4">
        <v>1</v>
      </c>
      <c r="Y622" s="4">
        <v>16.8</v>
      </c>
      <c r="Z622" s="4"/>
      <c r="AA622" s="4"/>
      <c r="AB622" s="4"/>
    </row>
    <row r="623" spans="1:245" x14ac:dyDescent="0.2">
      <c r="A623" s="4">
        <v>50</v>
      </c>
      <c r="B623" s="4">
        <v>0</v>
      </c>
      <c r="C623" s="4">
        <v>0</v>
      </c>
      <c r="D623" s="4">
        <v>1</v>
      </c>
      <c r="E623" s="4">
        <v>227</v>
      </c>
      <c r="F623" s="4">
        <f>ROUND(Source!AX616,O623)</f>
        <v>0</v>
      </c>
      <c r="G623" s="4" t="s">
        <v>108</v>
      </c>
      <c r="H623" s="4" t="s">
        <v>109</v>
      </c>
      <c r="I623" s="4"/>
      <c r="J623" s="4"/>
      <c r="K623" s="4">
        <v>227</v>
      </c>
      <c r="L623" s="4">
        <v>6</v>
      </c>
      <c r="M623" s="4">
        <v>3</v>
      </c>
      <c r="N623" s="4" t="s">
        <v>3</v>
      </c>
      <c r="O623" s="4">
        <v>2</v>
      </c>
      <c r="P623" s="4"/>
      <c r="Q623" s="4"/>
      <c r="R623" s="4"/>
      <c r="S623" s="4"/>
      <c r="T623" s="4"/>
      <c r="U623" s="4"/>
      <c r="V623" s="4"/>
      <c r="W623" s="4">
        <v>0</v>
      </c>
      <c r="X623" s="4">
        <v>1</v>
      </c>
      <c r="Y623" s="4">
        <v>0</v>
      </c>
      <c r="Z623" s="4"/>
      <c r="AA623" s="4"/>
      <c r="AB623" s="4"/>
    </row>
    <row r="624" spans="1:245" x14ac:dyDescent="0.2">
      <c r="A624" s="4">
        <v>50</v>
      </c>
      <c r="B624" s="4">
        <v>0</v>
      </c>
      <c r="C624" s="4">
        <v>0</v>
      </c>
      <c r="D624" s="4">
        <v>1</v>
      </c>
      <c r="E624" s="4">
        <v>228</v>
      </c>
      <c r="F624" s="4">
        <f>ROUND(Source!AY616,O624)</f>
        <v>16.8</v>
      </c>
      <c r="G624" s="4" t="s">
        <v>110</v>
      </c>
      <c r="H624" s="4" t="s">
        <v>111</v>
      </c>
      <c r="I624" s="4"/>
      <c r="J624" s="4"/>
      <c r="K624" s="4">
        <v>228</v>
      </c>
      <c r="L624" s="4">
        <v>7</v>
      </c>
      <c r="M624" s="4">
        <v>3</v>
      </c>
      <c r="N624" s="4" t="s">
        <v>3</v>
      </c>
      <c r="O624" s="4">
        <v>2</v>
      </c>
      <c r="P624" s="4"/>
      <c r="Q624" s="4"/>
      <c r="R624" s="4"/>
      <c r="S624" s="4"/>
      <c r="T624" s="4"/>
      <c r="U624" s="4"/>
      <c r="V624" s="4"/>
      <c r="W624" s="4">
        <v>16.8</v>
      </c>
      <c r="X624" s="4">
        <v>1</v>
      </c>
      <c r="Y624" s="4">
        <v>16.8</v>
      </c>
      <c r="Z624" s="4"/>
      <c r="AA624" s="4"/>
      <c r="AB624" s="4"/>
    </row>
    <row r="625" spans="1:28" x14ac:dyDescent="0.2">
      <c r="A625" s="4">
        <v>50</v>
      </c>
      <c r="B625" s="4">
        <v>0</v>
      </c>
      <c r="C625" s="4">
        <v>0</v>
      </c>
      <c r="D625" s="4">
        <v>1</v>
      </c>
      <c r="E625" s="4">
        <v>216</v>
      </c>
      <c r="F625" s="4">
        <f>ROUND(Source!AP616,O625)</f>
        <v>0</v>
      </c>
      <c r="G625" s="4" t="s">
        <v>112</v>
      </c>
      <c r="H625" s="4" t="s">
        <v>113</v>
      </c>
      <c r="I625" s="4"/>
      <c r="J625" s="4"/>
      <c r="K625" s="4">
        <v>216</v>
      </c>
      <c r="L625" s="4">
        <v>8</v>
      </c>
      <c r="M625" s="4">
        <v>3</v>
      </c>
      <c r="N625" s="4" t="s">
        <v>3</v>
      </c>
      <c r="O625" s="4">
        <v>2</v>
      </c>
      <c r="P625" s="4"/>
      <c r="Q625" s="4"/>
      <c r="R625" s="4"/>
      <c r="S625" s="4"/>
      <c r="T625" s="4"/>
      <c r="U625" s="4"/>
      <c r="V625" s="4"/>
      <c r="W625" s="4">
        <v>0</v>
      </c>
      <c r="X625" s="4">
        <v>1</v>
      </c>
      <c r="Y625" s="4">
        <v>0</v>
      </c>
      <c r="Z625" s="4"/>
      <c r="AA625" s="4"/>
      <c r="AB625" s="4"/>
    </row>
    <row r="626" spans="1:28" x14ac:dyDescent="0.2">
      <c r="A626" s="4">
        <v>50</v>
      </c>
      <c r="B626" s="4">
        <v>0</v>
      </c>
      <c r="C626" s="4">
        <v>0</v>
      </c>
      <c r="D626" s="4">
        <v>1</v>
      </c>
      <c r="E626" s="4">
        <v>223</v>
      </c>
      <c r="F626" s="4">
        <f>ROUND(Source!AQ616,O626)</f>
        <v>0</v>
      </c>
      <c r="G626" s="4" t="s">
        <v>114</v>
      </c>
      <c r="H626" s="4" t="s">
        <v>115</v>
      </c>
      <c r="I626" s="4"/>
      <c r="J626" s="4"/>
      <c r="K626" s="4">
        <v>223</v>
      </c>
      <c r="L626" s="4">
        <v>9</v>
      </c>
      <c r="M626" s="4">
        <v>3</v>
      </c>
      <c r="N626" s="4" t="s">
        <v>3</v>
      </c>
      <c r="O626" s="4">
        <v>2</v>
      </c>
      <c r="P626" s="4"/>
      <c r="Q626" s="4"/>
      <c r="R626" s="4"/>
      <c r="S626" s="4"/>
      <c r="T626" s="4"/>
      <c r="U626" s="4"/>
      <c r="V626" s="4"/>
      <c r="W626" s="4">
        <v>0</v>
      </c>
      <c r="X626" s="4">
        <v>1</v>
      </c>
      <c r="Y626" s="4">
        <v>0</v>
      </c>
      <c r="Z626" s="4"/>
      <c r="AA626" s="4"/>
      <c r="AB626" s="4"/>
    </row>
    <row r="627" spans="1:28" x14ac:dyDescent="0.2">
      <c r="A627" s="4">
        <v>50</v>
      </c>
      <c r="B627" s="4">
        <v>0</v>
      </c>
      <c r="C627" s="4">
        <v>0</v>
      </c>
      <c r="D627" s="4">
        <v>1</v>
      </c>
      <c r="E627" s="4">
        <v>229</v>
      </c>
      <c r="F627" s="4">
        <f>ROUND(Source!AZ616,O627)</f>
        <v>0</v>
      </c>
      <c r="G627" s="4" t="s">
        <v>116</v>
      </c>
      <c r="H627" s="4" t="s">
        <v>117</v>
      </c>
      <c r="I627" s="4"/>
      <c r="J627" s="4"/>
      <c r="K627" s="4">
        <v>229</v>
      </c>
      <c r="L627" s="4">
        <v>10</v>
      </c>
      <c r="M627" s="4">
        <v>3</v>
      </c>
      <c r="N627" s="4" t="s">
        <v>3</v>
      </c>
      <c r="O627" s="4">
        <v>2</v>
      </c>
      <c r="P627" s="4"/>
      <c r="Q627" s="4"/>
      <c r="R627" s="4"/>
      <c r="S627" s="4"/>
      <c r="T627" s="4"/>
      <c r="U627" s="4"/>
      <c r="V627" s="4"/>
      <c r="W627" s="4">
        <v>0</v>
      </c>
      <c r="X627" s="4">
        <v>1</v>
      </c>
      <c r="Y627" s="4">
        <v>0</v>
      </c>
      <c r="Z627" s="4"/>
      <c r="AA627" s="4"/>
      <c r="AB627" s="4"/>
    </row>
    <row r="628" spans="1:28" x14ac:dyDescent="0.2">
      <c r="A628" s="4">
        <v>50</v>
      </c>
      <c r="B628" s="4">
        <v>0</v>
      </c>
      <c r="C628" s="4">
        <v>0</v>
      </c>
      <c r="D628" s="4">
        <v>1</v>
      </c>
      <c r="E628" s="4">
        <v>203</v>
      </c>
      <c r="F628" s="4">
        <f>ROUND(Source!Q616,O628)</f>
        <v>52.8</v>
      </c>
      <c r="G628" s="4" t="s">
        <v>118</v>
      </c>
      <c r="H628" s="4" t="s">
        <v>119</v>
      </c>
      <c r="I628" s="4"/>
      <c r="J628" s="4"/>
      <c r="K628" s="4">
        <v>203</v>
      </c>
      <c r="L628" s="4">
        <v>11</v>
      </c>
      <c r="M628" s="4">
        <v>3</v>
      </c>
      <c r="N628" s="4" t="s">
        <v>3</v>
      </c>
      <c r="O628" s="4">
        <v>2</v>
      </c>
      <c r="P628" s="4"/>
      <c r="Q628" s="4"/>
      <c r="R628" s="4"/>
      <c r="S628" s="4"/>
      <c r="T628" s="4"/>
      <c r="U628" s="4"/>
      <c r="V628" s="4"/>
      <c r="W628" s="4">
        <v>52.8</v>
      </c>
      <c r="X628" s="4">
        <v>1</v>
      </c>
      <c r="Y628" s="4">
        <v>52.8</v>
      </c>
      <c r="Z628" s="4"/>
      <c r="AA628" s="4"/>
      <c r="AB628" s="4"/>
    </row>
    <row r="629" spans="1:28" x14ac:dyDescent="0.2">
      <c r="A629" s="4">
        <v>50</v>
      </c>
      <c r="B629" s="4">
        <v>0</v>
      </c>
      <c r="C629" s="4">
        <v>0</v>
      </c>
      <c r="D629" s="4">
        <v>1</v>
      </c>
      <c r="E629" s="4">
        <v>231</v>
      </c>
      <c r="F629" s="4">
        <f>ROUND(Source!BB616,O629)</f>
        <v>0</v>
      </c>
      <c r="G629" s="4" t="s">
        <v>120</v>
      </c>
      <c r="H629" s="4" t="s">
        <v>121</v>
      </c>
      <c r="I629" s="4"/>
      <c r="J629" s="4"/>
      <c r="K629" s="4">
        <v>231</v>
      </c>
      <c r="L629" s="4">
        <v>12</v>
      </c>
      <c r="M629" s="4">
        <v>3</v>
      </c>
      <c r="N629" s="4" t="s">
        <v>3</v>
      </c>
      <c r="O629" s="4">
        <v>2</v>
      </c>
      <c r="P629" s="4"/>
      <c r="Q629" s="4"/>
      <c r="R629" s="4"/>
      <c r="S629" s="4"/>
      <c r="T629" s="4"/>
      <c r="U629" s="4"/>
      <c r="V629" s="4"/>
      <c r="W629" s="4">
        <v>0</v>
      </c>
      <c r="X629" s="4">
        <v>1</v>
      </c>
      <c r="Y629" s="4">
        <v>0</v>
      </c>
      <c r="Z629" s="4"/>
      <c r="AA629" s="4"/>
      <c r="AB629" s="4"/>
    </row>
    <row r="630" spans="1:28" x14ac:dyDescent="0.2">
      <c r="A630" s="4">
        <v>50</v>
      </c>
      <c r="B630" s="4">
        <v>0</v>
      </c>
      <c r="C630" s="4">
        <v>0</v>
      </c>
      <c r="D630" s="4">
        <v>1</v>
      </c>
      <c r="E630" s="4">
        <v>204</v>
      </c>
      <c r="F630" s="4">
        <f>ROUND(Source!R616,O630)</f>
        <v>0.7</v>
      </c>
      <c r="G630" s="4" t="s">
        <v>122</v>
      </c>
      <c r="H630" s="4" t="s">
        <v>123</v>
      </c>
      <c r="I630" s="4"/>
      <c r="J630" s="4"/>
      <c r="K630" s="4">
        <v>204</v>
      </c>
      <c r="L630" s="4">
        <v>13</v>
      </c>
      <c r="M630" s="4">
        <v>3</v>
      </c>
      <c r="N630" s="4" t="s">
        <v>3</v>
      </c>
      <c r="O630" s="4">
        <v>2</v>
      </c>
      <c r="P630" s="4"/>
      <c r="Q630" s="4"/>
      <c r="R630" s="4"/>
      <c r="S630" s="4"/>
      <c r="T630" s="4"/>
      <c r="U630" s="4"/>
      <c r="V630" s="4"/>
      <c r="W630" s="4">
        <v>0.7</v>
      </c>
      <c r="X630" s="4">
        <v>1</v>
      </c>
      <c r="Y630" s="4">
        <v>0.7</v>
      </c>
      <c r="Z630" s="4"/>
      <c r="AA630" s="4"/>
      <c r="AB630" s="4"/>
    </row>
    <row r="631" spans="1:28" x14ac:dyDescent="0.2">
      <c r="A631" s="4">
        <v>50</v>
      </c>
      <c r="B631" s="4">
        <v>0</v>
      </c>
      <c r="C631" s="4">
        <v>0</v>
      </c>
      <c r="D631" s="4">
        <v>1</v>
      </c>
      <c r="E631" s="4">
        <v>205</v>
      </c>
      <c r="F631" s="4">
        <f>ROUND(Source!S616,O631)</f>
        <v>47290.1</v>
      </c>
      <c r="G631" s="4" t="s">
        <v>124</v>
      </c>
      <c r="H631" s="4" t="s">
        <v>125</v>
      </c>
      <c r="I631" s="4"/>
      <c r="J631" s="4"/>
      <c r="K631" s="4">
        <v>205</v>
      </c>
      <c r="L631" s="4">
        <v>14</v>
      </c>
      <c r="M631" s="4">
        <v>3</v>
      </c>
      <c r="N631" s="4" t="s">
        <v>3</v>
      </c>
      <c r="O631" s="4">
        <v>2</v>
      </c>
      <c r="P631" s="4"/>
      <c r="Q631" s="4"/>
      <c r="R631" s="4"/>
      <c r="S631" s="4"/>
      <c r="T631" s="4"/>
      <c r="U631" s="4"/>
      <c r="V631" s="4"/>
      <c r="W631" s="4">
        <v>47290.1</v>
      </c>
      <c r="X631" s="4">
        <v>1</v>
      </c>
      <c r="Y631" s="4">
        <v>47290.1</v>
      </c>
      <c r="Z631" s="4"/>
      <c r="AA631" s="4"/>
      <c r="AB631" s="4"/>
    </row>
    <row r="632" spans="1:28" x14ac:dyDescent="0.2">
      <c r="A632" s="4">
        <v>50</v>
      </c>
      <c r="B632" s="4">
        <v>0</v>
      </c>
      <c r="C632" s="4">
        <v>0</v>
      </c>
      <c r="D632" s="4">
        <v>1</v>
      </c>
      <c r="E632" s="4">
        <v>232</v>
      </c>
      <c r="F632" s="4">
        <f>ROUND(Source!BC616,O632)</f>
        <v>0</v>
      </c>
      <c r="G632" s="4" t="s">
        <v>126</v>
      </c>
      <c r="H632" s="4" t="s">
        <v>127</v>
      </c>
      <c r="I632" s="4"/>
      <c r="J632" s="4"/>
      <c r="K632" s="4">
        <v>232</v>
      </c>
      <c r="L632" s="4">
        <v>15</v>
      </c>
      <c r="M632" s="4">
        <v>3</v>
      </c>
      <c r="N632" s="4" t="s">
        <v>3</v>
      </c>
      <c r="O632" s="4">
        <v>2</v>
      </c>
      <c r="P632" s="4"/>
      <c r="Q632" s="4"/>
      <c r="R632" s="4"/>
      <c r="S632" s="4"/>
      <c r="T632" s="4"/>
      <c r="U632" s="4"/>
      <c r="V632" s="4"/>
      <c r="W632" s="4">
        <v>0</v>
      </c>
      <c r="X632" s="4">
        <v>1</v>
      </c>
      <c r="Y632" s="4">
        <v>0</v>
      </c>
      <c r="Z632" s="4"/>
      <c r="AA632" s="4"/>
      <c r="AB632" s="4"/>
    </row>
    <row r="633" spans="1:28" x14ac:dyDescent="0.2">
      <c r="A633" s="4">
        <v>50</v>
      </c>
      <c r="B633" s="4">
        <v>0</v>
      </c>
      <c r="C633" s="4">
        <v>0</v>
      </c>
      <c r="D633" s="4">
        <v>1</v>
      </c>
      <c r="E633" s="4">
        <v>214</v>
      </c>
      <c r="F633" s="4">
        <f>ROUND(Source!AS616,O633)</f>
        <v>0</v>
      </c>
      <c r="G633" s="4" t="s">
        <v>128</v>
      </c>
      <c r="H633" s="4" t="s">
        <v>129</v>
      </c>
      <c r="I633" s="4"/>
      <c r="J633" s="4"/>
      <c r="K633" s="4">
        <v>214</v>
      </c>
      <c r="L633" s="4">
        <v>16</v>
      </c>
      <c r="M633" s="4">
        <v>3</v>
      </c>
      <c r="N633" s="4" t="s">
        <v>3</v>
      </c>
      <c r="O633" s="4">
        <v>2</v>
      </c>
      <c r="P633" s="4"/>
      <c r="Q633" s="4"/>
      <c r="R633" s="4"/>
      <c r="S633" s="4"/>
      <c r="T633" s="4"/>
      <c r="U633" s="4"/>
      <c r="V633" s="4"/>
      <c r="W633" s="4">
        <v>0</v>
      </c>
      <c r="X633" s="4">
        <v>1</v>
      </c>
      <c r="Y633" s="4">
        <v>0</v>
      </c>
      <c r="Z633" s="4"/>
      <c r="AA633" s="4"/>
      <c r="AB633" s="4"/>
    </row>
    <row r="634" spans="1:28" x14ac:dyDescent="0.2">
      <c r="A634" s="4">
        <v>50</v>
      </c>
      <c r="B634" s="4">
        <v>0</v>
      </c>
      <c r="C634" s="4">
        <v>0</v>
      </c>
      <c r="D634" s="4">
        <v>1</v>
      </c>
      <c r="E634" s="4">
        <v>215</v>
      </c>
      <c r="F634" s="4">
        <f>ROUND(Source!AT616,O634)</f>
        <v>0</v>
      </c>
      <c r="G634" s="4" t="s">
        <v>130</v>
      </c>
      <c r="H634" s="4" t="s">
        <v>131</v>
      </c>
      <c r="I634" s="4"/>
      <c r="J634" s="4"/>
      <c r="K634" s="4">
        <v>215</v>
      </c>
      <c r="L634" s="4">
        <v>17</v>
      </c>
      <c r="M634" s="4">
        <v>3</v>
      </c>
      <c r="N634" s="4" t="s">
        <v>3</v>
      </c>
      <c r="O634" s="4">
        <v>2</v>
      </c>
      <c r="P634" s="4"/>
      <c r="Q634" s="4"/>
      <c r="R634" s="4"/>
      <c r="S634" s="4"/>
      <c r="T634" s="4"/>
      <c r="U634" s="4"/>
      <c r="V634" s="4"/>
      <c r="W634" s="4">
        <v>0</v>
      </c>
      <c r="X634" s="4">
        <v>1</v>
      </c>
      <c r="Y634" s="4">
        <v>0</v>
      </c>
      <c r="Z634" s="4"/>
      <c r="AA634" s="4"/>
      <c r="AB634" s="4"/>
    </row>
    <row r="635" spans="1:28" x14ac:dyDescent="0.2">
      <c r="A635" s="4">
        <v>50</v>
      </c>
      <c r="B635" s="4">
        <v>0</v>
      </c>
      <c r="C635" s="4">
        <v>0</v>
      </c>
      <c r="D635" s="4">
        <v>1</v>
      </c>
      <c r="E635" s="4">
        <v>217</v>
      </c>
      <c r="F635" s="4">
        <f>ROUND(Source!AU616,O635)</f>
        <v>85192.54</v>
      </c>
      <c r="G635" s="4" t="s">
        <v>132</v>
      </c>
      <c r="H635" s="4" t="s">
        <v>133</v>
      </c>
      <c r="I635" s="4"/>
      <c r="J635" s="4"/>
      <c r="K635" s="4">
        <v>217</v>
      </c>
      <c r="L635" s="4">
        <v>18</v>
      </c>
      <c r="M635" s="4">
        <v>3</v>
      </c>
      <c r="N635" s="4" t="s">
        <v>3</v>
      </c>
      <c r="O635" s="4">
        <v>2</v>
      </c>
      <c r="P635" s="4"/>
      <c r="Q635" s="4"/>
      <c r="R635" s="4"/>
      <c r="S635" s="4"/>
      <c r="T635" s="4"/>
      <c r="U635" s="4"/>
      <c r="V635" s="4"/>
      <c r="W635" s="4">
        <v>85192.54</v>
      </c>
      <c r="X635" s="4">
        <v>1</v>
      </c>
      <c r="Y635" s="4">
        <v>85192.54</v>
      </c>
      <c r="Z635" s="4"/>
      <c r="AA635" s="4"/>
      <c r="AB635" s="4"/>
    </row>
    <row r="636" spans="1:28" x14ac:dyDescent="0.2">
      <c r="A636" s="4">
        <v>50</v>
      </c>
      <c r="B636" s="4">
        <v>0</v>
      </c>
      <c r="C636" s="4">
        <v>0</v>
      </c>
      <c r="D636" s="4">
        <v>1</v>
      </c>
      <c r="E636" s="4">
        <v>230</v>
      </c>
      <c r="F636" s="4">
        <f>ROUND(Source!BA616,O636)</f>
        <v>0</v>
      </c>
      <c r="G636" s="4" t="s">
        <v>134</v>
      </c>
      <c r="H636" s="4" t="s">
        <v>135</v>
      </c>
      <c r="I636" s="4"/>
      <c r="J636" s="4"/>
      <c r="K636" s="4">
        <v>230</v>
      </c>
      <c r="L636" s="4">
        <v>19</v>
      </c>
      <c r="M636" s="4">
        <v>3</v>
      </c>
      <c r="N636" s="4" t="s">
        <v>3</v>
      </c>
      <c r="O636" s="4">
        <v>2</v>
      </c>
      <c r="P636" s="4"/>
      <c r="Q636" s="4"/>
      <c r="R636" s="4"/>
      <c r="S636" s="4"/>
      <c r="T636" s="4"/>
      <c r="U636" s="4"/>
      <c r="V636" s="4"/>
      <c r="W636" s="4">
        <v>0</v>
      </c>
      <c r="X636" s="4">
        <v>1</v>
      </c>
      <c r="Y636" s="4">
        <v>0</v>
      </c>
      <c r="Z636" s="4"/>
      <c r="AA636" s="4"/>
      <c r="AB636" s="4"/>
    </row>
    <row r="637" spans="1:28" x14ac:dyDescent="0.2">
      <c r="A637" s="4">
        <v>50</v>
      </c>
      <c r="B637" s="4">
        <v>0</v>
      </c>
      <c r="C637" s="4">
        <v>0</v>
      </c>
      <c r="D637" s="4">
        <v>1</v>
      </c>
      <c r="E637" s="4">
        <v>206</v>
      </c>
      <c r="F637" s="4">
        <f>ROUND(Source!T616,O637)</f>
        <v>0</v>
      </c>
      <c r="G637" s="4" t="s">
        <v>136</v>
      </c>
      <c r="H637" s="4" t="s">
        <v>137</v>
      </c>
      <c r="I637" s="4"/>
      <c r="J637" s="4"/>
      <c r="K637" s="4">
        <v>206</v>
      </c>
      <c r="L637" s="4">
        <v>20</v>
      </c>
      <c r="M637" s="4">
        <v>3</v>
      </c>
      <c r="N637" s="4" t="s">
        <v>3</v>
      </c>
      <c r="O637" s="4">
        <v>2</v>
      </c>
      <c r="P637" s="4"/>
      <c r="Q637" s="4"/>
      <c r="R637" s="4"/>
      <c r="S637" s="4"/>
      <c r="T637" s="4"/>
      <c r="U637" s="4"/>
      <c r="V637" s="4"/>
      <c r="W637" s="4">
        <v>0</v>
      </c>
      <c r="X637" s="4">
        <v>1</v>
      </c>
      <c r="Y637" s="4">
        <v>0</v>
      </c>
      <c r="Z637" s="4"/>
      <c r="AA637" s="4"/>
      <c r="AB637" s="4"/>
    </row>
    <row r="638" spans="1:28" x14ac:dyDescent="0.2">
      <c r="A638" s="4">
        <v>50</v>
      </c>
      <c r="B638" s="4">
        <v>0</v>
      </c>
      <c r="C638" s="4">
        <v>0</v>
      </c>
      <c r="D638" s="4">
        <v>1</v>
      </c>
      <c r="E638" s="4">
        <v>207</v>
      </c>
      <c r="F638" s="4">
        <f>Source!U616</f>
        <v>74.2</v>
      </c>
      <c r="G638" s="4" t="s">
        <v>138</v>
      </c>
      <c r="H638" s="4" t="s">
        <v>139</v>
      </c>
      <c r="I638" s="4"/>
      <c r="J638" s="4"/>
      <c r="K638" s="4">
        <v>207</v>
      </c>
      <c r="L638" s="4">
        <v>21</v>
      </c>
      <c r="M638" s="4">
        <v>3</v>
      </c>
      <c r="N638" s="4" t="s">
        <v>3</v>
      </c>
      <c r="O638" s="4">
        <v>-1</v>
      </c>
      <c r="P638" s="4"/>
      <c r="Q638" s="4"/>
      <c r="R638" s="4"/>
      <c r="S638" s="4"/>
      <c r="T638" s="4"/>
      <c r="U638" s="4"/>
      <c r="V638" s="4"/>
      <c r="W638" s="4">
        <v>74.2</v>
      </c>
      <c r="X638" s="4">
        <v>1</v>
      </c>
      <c r="Y638" s="4">
        <v>74.2</v>
      </c>
      <c r="Z638" s="4"/>
      <c r="AA638" s="4"/>
      <c r="AB638" s="4"/>
    </row>
    <row r="639" spans="1:28" x14ac:dyDescent="0.2">
      <c r="A639" s="4">
        <v>50</v>
      </c>
      <c r="B639" s="4">
        <v>0</v>
      </c>
      <c r="C639" s="4">
        <v>0</v>
      </c>
      <c r="D639" s="4">
        <v>1</v>
      </c>
      <c r="E639" s="4">
        <v>208</v>
      </c>
      <c r="F639" s="4">
        <f>Source!V616</f>
        <v>0</v>
      </c>
      <c r="G639" s="4" t="s">
        <v>140</v>
      </c>
      <c r="H639" s="4" t="s">
        <v>141</v>
      </c>
      <c r="I639" s="4"/>
      <c r="J639" s="4"/>
      <c r="K639" s="4">
        <v>208</v>
      </c>
      <c r="L639" s="4">
        <v>22</v>
      </c>
      <c r="M639" s="4">
        <v>3</v>
      </c>
      <c r="N639" s="4" t="s">
        <v>3</v>
      </c>
      <c r="O639" s="4">
        <v>-1</v>
      </c>
      <c r="P639" s="4"/>
      <c r="Q639" s="4"/>
      <c r="R639" s="4"/>
      <c r="S639" s="4"/>
      <c r="T639" s="4"/>
      <c r="U639" s="4"/>
      <c r="V639" s="4"/>
      <c r="W639" s="4">
        <v>0</v>
      </c>
      <c r="X639" s="4">
        <v>1</v>
      </c>
      <c r="Y639" s="4">
        <v>0</v>
      </c>
      <c r="Z639" s="4"/>
      <c r="AA639" s="4"/>
      <c r="AB639" s="4"/>
    </row>
    <row r="640" spans="1:28" x14ac:dyDescent="0.2">
      <c r="A640" s="4">
        <v>50</v>
      </c>
      <c r="B640" s="4">
        <v>0</v>
      </c>
      <c r="C640" s="4">
        <v>0</v>
      </c>
      <c r="D640" s="4">
        <v>1</v>
      </c>
      <c r="E640" s="4">
        <v>209</v>
      </c>
      <c r="F640" s="4">
        <f>ROUND(Source!W616,O640)</f>
        <v>0</v>
      </c>
      <c r="G640" s="4" t="s">
        <v>142</v>
      </c>
      <c r="H640" s="4" t="s">
        <v>143</v>
      </c>
      <c r="I640" s="4"/>
      <c r="J640" s="4"/>
      <c r="K640" s="4">
        <v>209</v>
      </c>
      <c r="L640" s="4">
        <v>23</v>
      </c>
      <c r="M640" s="4">
        <v>3</v>
      </c>
      <c r="N640" s="4" t="s">
        <v>3</v>
      </c>
      <c r="O640" s="4">
        <v>2</v>
      </c>
      <c r="P640" s="4"/>
      <c r="Q640" s="4"/>
      <c r="R640" s="4"/>
      <c r="S640" s="4"/>
      <c r="T640" s="4"/>
      <c r="U640" s="4"/>
      <c r="V640" s="4"/>
      <c r="W640" s="4">
        <v>0</v>
      </c>
      <c r="X640" s="4">
        <v>1</v>
      </c>
      <c r="Y640" s="4">
        <v>0</v>
      </c>
      <c r="Z640" s="4"/>
      <c r="AA640" s="4"/>
      <c r="AB640" s="4"/>
    </row>
    <row r="641" spans="1:245" x14ac:dyDescent="0.2">
      <c r="A641" s="4">
        <v>50</v>
      </c>
      <c r="B641" s="4">
        <v>0</v>
      </c>
      <c r="C641" s="4">
        <v>0</v>
      </c>
      <c r="D641" s="4">
        <v>1</v>
      </c>
      <c r="E641" s="4">
        <v>233</v>
      </c>
      <c r="F641" s="4">
        <f>ROUND(Source!BD616,O641)</f>
        <v>0</v>
      </c>
      <c r="G641" s="4" t="s">
        <v>144</v>
      </c>
      <c r="H641" s="4" t="s">
        <v>145</v>
      </c>
      <c r="I641" s="4"/>
      <c r="J641" s="4"/>
      <c r="K641" s="4">
        <v>233</v>
      </c>
      <c r="L641" s="4">
        <v>24</v>
      </c>
      <c r="M641" s="4">
        <v>3</v>
      </c>
      <c r="N641" s="4" t="s">
        <v>3</v>
      </c>
      <c r="O641" s="4">
        <v>2</v>
      </c>
      <c r="P641" s="4"/>
      <c r="Q641" s="4"/>
      <c r="R641" s="4"/>
      <c r="S641" s="4"/>
      <c r="T641" s="4"/>
      <c r="U641" s="4"/>
      <c r="V641" s="4"/>
      <c r="W641" s="4">
        <v>0</v>
      </c>
      <c r="X641" s="4">
        <v>1</v>
      </c>
      <c r="Y641" s="4">
        <v>0</v>
      </c>
      <c r="Z641" s="4"/>
      <c r="AA641" s="4"/>
      <c r="AB641" s="4"/>
    </row>
    <row r="642" spans="1:245" x14ac:dyDescent="0.2">
      <c r="A642" s="4">
        <v>50</v>
      </c>
      <c r="B642" s="4">
        <v>0</v>
      </c>
      <c r="C642" s="4">
        <v>0</v>
      </c>
      <c r="D642" s="4">
        <v>1</v>
      </c>
      <c r="E642" s="4">
        <v>210</v>
      </c>
      <c r="F642" s="4">
        <f>ROUND(Source!X616,O642)</f>
        <v>33103.07</v>
      </c>
      <c r="G642" s="4" t="s">
        <v>146</v>
      </c>
      <c r="H642" s="4" t="s">
        <v>147</v>
      </c>
      <c r="I642" s="4"/>
      <c r="J642" s="4"/>
      <c r="K642" s="4">
        <v>210</v>
      </c>
      <c r="L642" s="4">
        <v>25</v>
      </c>
      <c r="M642" s="4">
        <v>3</v>
      </c>
      <c r="N642" s="4" t="s">
        <v>3</v>
      </c>
      <c r="O642" s="4">
        <v>2</v>
      </c>
      <c r="P642" s="4"/>
      <c r="Q642" s="4"/>
      <c r="R642" s="4"/>
      <c r="S642" s="4"/>
      <c r="T642" s="4"/>
      <c r="U642" s="4"/>
      <c r="V642" s="4"/>
      <c r="W642" s="4">
        <v>33103.07</v>
      </c>
      <c r="X642" s="4">
        <v>1</v>
      </c>
      <c r="Y642" s="4">
        <v>33103.07</v>
      </c>
      <c r="Z642" s="4"/>
      <c r="AA642" s="4"/>
      <c r="AB642" s="4"/>
    </row>
    <row r="643" spans="1:245" x14ac:dyDescent="0.2">
      <c r="A643" s="4">
        <v>50</v>
      </c>
      <c r="B643" s="4">
        <v>0</v>
      </c>
      <c r="C643" s="4">
        <v>0</v>
      </c>
      <c r="D643" s="4">
        <v>1</v>
      </c>
      <c r="E643" s="4">
        <v>211</v>
      </c>
      <c r="F643" s="4">
        <f>ROUND(Source!Y616,O643)</f>
        <v>4729.01</v>
      </c>
      <c r="G643" s="4" t="s">
        <v>148</v>
      </c>
      <c r="H643" s="4" t="s">
        <v>149</v>
      </c>
      <c r="I643" s="4"/>
      <c r="J643" s="4"/>
      <c r="K643" s="4">
        <v>211</v>
      </c>
      <c r="L643" s="4">
        <v>26</v>
      </c>
      <c r="M643" s="4">
        <v>3</v>
      </c>
      <c r="N643" s="4" t="s">
        <v>3</v>
      </c>
      <c r="O643" s="4">
        <v>2</v>
      </c>
      <c r="P643" s="4"/>
      <c r="Q643" s="4"/>
      <c r="R643" s="4"/>
      <c r="S643" s="4"/>
      <c r="T643" s="4"/>
      <c r="U643" s="4"/>
      <c r="V643" s="4"/>
      <c r="W643" s="4">
        <v>4729.01</v>
      </c>
      <c r="X643" s="4">
        <v>1</v>
      </c>
      <c r="Y643" s="4">
        <v>4729.01</v>
      </c>
      <c r="Z643" s="4"/>
      <c r="AA643" s="4"/>
      <c r="AB643" s="4"/>
    </row>
    <row r="644" spans="1:245" x14ac:dyDescent="0.2">
      <c r="A644" s="4">
        <v>50</v>
      </c>
      <c r="B644" s="4">
        <v>0</v>
      </c>
      <c r="C644" s="4">
        <v>0</v>
      </c>
      <c r="D644" s="4">
        <v>1</v>
      </c>
      <c r="E644" s="4">
        <v>224</v>
      </c>
      <c r="F644" s="4">
        <f>ROUND(Source!AR616,O644)</f>
        <v>85192.54</v>
      </c>
      <c r="G644" s="4" t="s">
        <v>150</v>
      </c>
      <c r="H644" s="4" t="s">
        <v>151</v>
      </c>
      <c r="I644" s="4"/>
      <c r="J644" s="4"/>
      <c r="K644" s="4">
        <v>224</v>
      </c>
      <c r="L644" s="4">
        <v>27</v>
      </c>
      <c r="M644" s="4">
        <v>3</v>
      </c>
      <c r="N644" s="4" t="s">
        <v>3</v>
      </c>
      <c r="O644" s="4">
        <v>2</v>
      </c>
      <c r="P644" s="4"/>
      <c r="Q644" s="4"/>
      <c r="R644" s="4"/>
      <c r="S644" s="4"/>
      <c r="T644" s="4"/>
      <c r="U644" s="4"/>
      <c r="V644" s="4"/>
      <c r="W644" s="4">
        <v>85192.54</v>
      </c>
      <c r="X644" s="4">
        <v>1</v>
      </c>
      <c r="Y644" s="4">
        <v>85192.54</v>
      </c>
      <c r="Z644" s="4"/>
      <c r="AA644" s="4"/>
      <c r="AB644" s="4"/>
    </row>
    <row r="646" spans="1:245" x14ac:dyDescent="0.2">
      <c r="A646" s="1">
        <v>5</v>
      </c>
      <c r="B646" s="1">
        <v>1</v>
      </c>
      <c r="C646" s="1"/>
      <c r="D646" s="1">
        <f>ROW(A685)</f>
        <v>685</v>
      </c>
      <c r="E646" s="1"/>
      <c r="F646" s="1" t="s">
        <v>14</v>
      </c>
      <c r="G646" s="1" t="s">
        <v>196</v>
      </c>
      <c r="H646" s="1" t="s">
        <v>3</v>
      </c>
      <c r="I646" s="1">
        <v>0</v>
      </c>
      <c r="J646" s="1"/>
      <c r="K646" s="1">
        <v>0</v>
      </c>
      <c r="L646" s="1"/>
      <c r="M646" s="1" t="s">
        <v>3</v>
      </c>
      <c r="N646" s="1"/>
      <c r="O646" s="1"/>
      <c r="P646" s="1"/>
      <c r="Q646" s="1"/>
      <c r="R646" s="1"/>
      <c r="S646" s="1">
        <v>0</v>
      </c>
      <c r="T646" s="1"/>
      <c r="U646" s="1" t="s">
        <v>3</v>
      </c>
      <c r="V646" s="1">
        <v>0</v>
      </c>
      <c r="W646" s="1"/>
      <c r="X646" s="1"/>
      <c r="Y646" s="1"/>
      <c r="Z646" s="1"/>
      <c r="AA646" s="1"/>
      <c r="AB646" s="1" t="s">
        <v>3</v>
      </c>
      <c r="AC646" s="1" t="s">
        <v>3</v>
      </c>
      <c r="AD646" s="1" t="s">
        <v>3</v>
      </c>
      <c r="AE646" s="1" t="s">
        <v>3</v>
      </c>
      <c r="AF646" s="1" t="s">
        <v>3</v>
      </c>
      <c r="AG646" s="1" t="s">
        <v>3</v>
      </c>
      <c r="AH646" s="1"/>
      <c r="AI646" s="1"/>
      <c r="AJ646" s="1"/>
      <c r="AK646" s="1"/>
      <c r="AL646" s="1"/>
      <c r="AM646" s="1"/>
      <c r="AN646" s="1"/>
      <c r="AO646" s="1"/>
      <c r="AP646" s="1" t="s">
        <v>3</v>
      </c>
      <c r="AQ646" s="1" t="s">
        <v>3</v>
      </c>
      <c r="AR646" s="1" t="s">
        <v>3</v>
      </c>
      <c r="AS646" s="1"/>
      <c r="AT646" s="1"/>
      <c r="AU646" s="1"/>
      <c r="AV646" s="1"/>
      <c r="AW646" s="1"/>
      <c r="AX646" s="1"/>
      <c r="AY646" s="1"/>
      <c r="AZ646" s="1" t="s">
        <v>3</v>
      </c>
      <c r="BA646" s="1"/>
      <c r="BB646" s="1" t="s">
        <v>3</v>
      </c>
      <c r="BC646" s="1" t="s">
        <v>3</v>
      </c>
      <c r="BD646" s="1" t="s">
        <v>3</v>
      </c>
      <c r="BE646" s="1" t="s">
        <v>3</v>
      </c>
      <c r="BF646" s="1" t="s">
        <v>3</v>
      </c>
      <c r="BG646" s="1" t="s">
        <v>3</v>
      </c>
      <c r="BH646" s="1" t="s">
        <v>3</v>
      </c>
      <c r="BI646" s="1" t="s">
        <v>3</v>
      </c>
      <c r="BJ646" s="1" t="s">
        <v>3</v>
      </c>
      <c r="BK646" s="1" t="s">
        <v>3</v>
      </c>
      <c r="BL646" s="1" t="s">
        <v>3</v>
      </c>
      <c r="BM646" s="1" t="s">
        <v>3</v>
      </c>
      <c r="BN646" s="1" t="s">
        <v>3</v>
      </c>
      <c r="BO646" s="1" t="s">
        <v>3</v>
      </c>
      <c r="BP646" s="1" t="s">
        <v>3</v>
      </c>
      <c r="BQ646" s="1"/>
      <c r="BR646" s="1"/>
      <c r="BS646" s="1"/>
      <c r="BT646" s="1"/>
      <c r="BU646" s="1"/>
      <c r="BV646" s="1"/>
      <c r="BW646" s="1"/>
      <c r="BX646" s="1">
        <v>0</v>
      </c>
      <c r="BY646" s="1"/>
      <c r="BZ646" s="1"/>
      <c r="CA646" s="1"/>
      <c r="CB646" s="1"/>
      <c r="CC646" s="1"/>
      <c r="CD646" s="1"/>
      <c r="CE646" s="1"/>
      <c r="CF646" s="1"/>
      <c r="CG646" s="1"/>
      <c r="CH646" s="1"/>
      <c r="CI646" s="1"/>
      <c r="CJ646" s="1">
        <v>0</v>
      </c>
    </row>
    <row r="648" spans="1:245" x14ac:dyDescent="0.2">
      <c r="A648" s="2">
        <v>52</v>
      </c>
      <c r="B648" s="2">
        <f t="shared" ref="B648:G648" si="565">B685</f>
        <v>1</v>
      </c>
      <c r="C648" s="2">
        <f t="shared" si="565"/>
        <v>5</v>
      </c>
      <c r="D648" s="2">
        <f t="shared" si="565"/>
        <v>646</v>
      </c>
      <c r="E648" s="2">
        <f t="shared" si="565"/>
        <v>0</v>
      </c>
      <c r="F648" s="2" t="str">
        <f t="shared" si="565"/>
        <v>Новый подраздел</v>
      </c>
      <c r="G648" s="2" t="str">
        <f t="shared" si="565"/>
        <v>Система электроснабжения</v>
      </c>
      <c r="H648" s="2"/>
      <c r="I648" s="2"/>
      <c r="J648" s="2"/>
      <c r="K648" s="2"/>
      <c r="L648" s="2"/>
      <c r="M648" s="2"/>
      <c r="N648" s="2"/>
      <c r="O648" s="2">
        <f t="shared" ref="O648:AT648" si="566">O685</f>
        <v>369087.09</v>
      </c>
      <c r="P648" s="2">
        <f t="shared" si="566"/>
        <v>3274.93</v>
      </c>
      <c r="Q648" s="2">
        <f t="shared" si="566"/>
        <v>5837.5</v>
      </c>
      <c r="R648" s="2">
        <f t="shared" si="566"/>
        <v>3701.38</v>
      </c>
      <c r="S648" s="2">
        <f t="shared" si="566"/>
        <v>359974.66</v>
      </c>
      <c r="T648" s="2">
        <f t="shared" si="566"/>
        <v>0</v>
      </c>
      <c r="U648" s="2">
        <f t="shared" si="566"/>
        <v>593.2879999999999</v>
      </c>
      <c r="V648" s="2">
        <f t="shared" si="566"/>
        <v>0</v>
      </c>
      <c r="W648" s="2">
        <f t="shared" si="566"/>
        <v>0</v>
      </c>
      <c r="X648" s="2">
        <f t="shared" si="566"/>
        <v>251982.28</v>
      </c>
      <c r="Y648" s="2">
        <f t="shared" si="566"/>
        <v>35997.46</v>
      </c>
      <c r="Z648" s="2">
        <f t="shared" si="566"/>
        <v>0</v>
      </c>
      <c r="AA648" s="2">
        <f t="shared" si="566"/>
        <v>0</v>
      </c>
      <c r="AB648" s="2">
        <f t="shared" si="566"/>
        <v>369087.09</v>
      </c>
      <c r="AC648" s="2">
        <f t="shared" si="566"/>
        <v>3274.93</v>
      </c>
      <c r="AD648" s="2">
        <f t="shared" si="566"/>
        <v>5837.5</v>
      </c>
      <c r="AE648" s="2">
        <f t="shared" si="566"/>
        <v>3701.38</v>
      </c>
      <c r="AF648" s="2">
        <f t="shared" si="566"/>
        <v>359974.66</v>
      </c>
      <c r="AG648" s="2">
        <f t="shared" si="566"/>
        <v>0</v>
      </c>
      <c r="AH648" s="2">
        <f t="shared" si="566"/>
        <v>593.2879999999999</v>
      </c>
      <c r="AI648" s="2">
        <f t="shared" si="566"/>
        <v>0</v>
      </c>
      <c r="AJ648" s="2">
        <f t="shared" si="566"/>
        <v>0</v>
      </c>
      <c r="AK648" s="2">
        <f t="shared" si="566"/>
        <v>251982.28</v>
      </c>
      <c r="AL648" s="2">
        <f t="shared" si="566"/>
        <v>35997.46</v>
      </c>
      <c r="AM648" s="2">
        <f t="shared" si="566"/>
        <v>0</v>
      </c>
      <c r="AN648" s="2">
        <f t="shared" si="566"/>
        <v>0</v>
      </c>
      <c r="AO648" s="2">
        <f t="shared" si="566"/>
        <v>0</v>
      </c>
      <c r="AP648" s="2">
        <f t="shared" si="566"/>
        <v>0</v>
      </c>
      <c r="AQ648" s="2">
        <f t="shared" si="566"/>
        <v>0</v>
      </c>
      <c r="AR648" s="2">
        <f t="shared" si="566"/>
        <v>661064.31999999995</v>
      </c>
      <c r="AS648" s="2">
        <f t="shared" si="566"/>
        <v>0</v>
      </c>
      <c r="AT648" s="2">
        <f t="shared" si="566"/>
        <v>0</v>
      </c>
      <c r="AU648" s="2">
        <f t="shared" ref="AU648:BZ648" si="567">AU685</f>
        <v>661064.31999999995</v>
      </c>
      <c r="AV648" s="2">
        <f t="shared" si="567"/>
        <v>3274.93</v>
      </c>
      <c r="AW648" s="2">
        <f t="shared" si="567"/>
        <v>3274.93</v>
      </c>
      <c r="AX648" s="2">
        <f t="shared" si="567"/>
        <v>0</v>
      </c>
      <c r="AY648" s="2">
        <f t="shared" si="567"/>
        <v>3274.93</v>
      </c>
      <c r="AZ648" s="2">
        <f t="shared" si="567"/>
        <v>0</v>
      </c>
      <c r="BA648" s="2">
        <f t="shared" si="567"/>
        <v>0</v>
      </c>
      <c r="BB648" s="2">
        <f t="shared" si="567"/>
        <v>0</v>
      </c>
      <c r="BC648" s="2">
        <f t="shared" si="567"/>
        <v>0</v>
      </c>
      <c r="BD648" s="2">
        <f t="shared" si="567"/>
        <v>0</v>
      </c>
      <c r="BE648" s="2">
        <f t="shared" si="567"/>
        <v>0</v>
      </c>
      <c r="BF648" s="2">
        <f t="shared" si="567"/>
        <v>0</v>
      </c>
      <c r="BG648" s="2">
        <f t="shared" si="567"/>
        <v>0</v>
      </c>
      <c r="BH648" s="2">
        <f t="shared" si="567"/>
        <v>0</v>
      </c>
      <c r="BI648" s="2">
        <f t="shared" si="567"/>
        <v>0</v>
      </c>
      <c r="BJ648" s="2">
        <f t="shared" si="567"/>
        <v>0</v>
      </c>
      <c r="BK648" s="2">
        <f t="shared" si="567"/>
        <v>0</v>
      </c>
      <c r="BL648" s="2">
        <f t="shared" si="567"/>
        <v>0</v>
      </c>
      <c r="BM648" s="2">
        <f t="shared" si="567"/>
        <v>0</v>
      </c>
      <c r="BN648" s="2">
        <f t="shared" si="567"/>
        <v>0</v>
      </c>
      <c r="BO648" s="2">
        <f t="shared" si="567"/>
        <v>0</v>
      </c>
      <c r="BP648" s="2">
        <f t="shared" si="567"/>
        <v>0</v>
      </c>
      <c r="BQ648" s="2">
        <f t="shared" si="567"/>
        <v>0</v>
      </c>
      <c r="BR648" s="2">
        <f t="shared" si="567"/>
        <v>0</v>
      </c>
      <c r="BS648" s="2">
        <f t="shared" si="567"/>
        <v>0</v>
      </c>
      <c r="BT648" s="2">
        <f t="shared" si="567"/>
        <v>0</v>
      </c>
      <c r="BU648" s="2">
        <f t="shared" si="567"/>
        <v>0</v>
      </c>
      <c r="BV648" s="2">
        <f t="shared" si="567"/>
        <v>0</v>
      </c>
      <c r="BW648" s="2">
        <f t="shared" si="567"/>
        <v>0</v>
      </c>
      <c r="BX648" s="2">
        <f t="shared" si="567"/>
        <v>0</v>
      </c>
      <c r="BY648" s="2">
        <f t="shared" si="567"/>
        <v>0</v>
      </c>
      <c r="BZ648" s="2">
        <f t="shared" si="567"/>
        <v>0</v>
      </c>
      <c r="CA648" s="2">
        <f t="shared" ref="CA648:DF648" si="568">CA685</f>
        <v>661064.31999999995</v>
      </c>
      <c r="CB648" s="2">
        <f t="shared" si="568"/>
        <v>0</v>
      </c>
      <c r="CC648" s="2">
        <f t="shared" si="568"/>
        <v>0</v>
      </c>
      <c r="CD648" s="2">
        <f t="shared" si="568"/>
        <v>661064.31999999995</v>
      </c>
      <c r="CE648" s="2">
        <f t="shared" si="568"/>
        <v>3274.93</v>
      </c>
      <c r="CF648" s="2">
        <f t="shared" si="568"/>
        <v>3274.93</v>
      </c>
      <c r="CG648" s="2">
        <f t="shared" si="568"/>
        <v>0</v>
      </c>
      <c r="CH648" s="2">
        <f t="shared" si="568"/>
        <v>3274.93</v>
      </c>
      <c r="CI648" s="2">
        <f t="shared" si="568"/>
        <v>0</v>
      </c>
      <c r="CJ648" s="2">
        <f t="shared" si="568"/>
        <v>0</v>
      </c>
      <c r="CK648" s="2">
        <f t="shared" si="568"/>
        <v>0</v>
      </c>
      <c r="CL648" s="2">
        <f t="shared" si="568"/>
        <v>0</v>
      </c>
      <c r="CM648" s="2">
        <f t="shared" si="568"/>
        <v>0</v>
      </c>
      <c r="CN648" s="2">
        <f t="shared" si="568"/>
        <v>0</v>
      </c>
      <c r="CO648" s="2">
        <f t="shared" si="568"/>
        <v>0</v>
      </c>
      <c r="CP648" s="2">
        <f t="shared" si="568"/>
        <v>0</v>
      </c>
      <c r="CQ648" s="2">
        <f t="shared" si="568"/>
        <v>0</v>
      </c>
      <c r="CR648" s="2">
        <f t="shared" si="568"/>
        <v>0</v>
      </c>
      <c r="CS648" s="2">
        <f t="shared" si="568"/>
        <v>0</v>
      </c>
      <c r="CT648" s="2">
        <f t="shared" si="568"/>
        <v>0</v>
      </c>
      <c r="CU648" s="2">
        <f t="shared" si="568"/>
        <v>0</v>
      </c>
      <c r="CV648" s="2">
        <f t="shared" si="568"/>
        <v>0</v>
      </c>
      <c r="CW648" s="2">
        <f t="shared" si="568"/>
        <v>0</v>
      </c>
      <c r="CX648" s="2">
        <f t="shared" si="568"/>
        <v>0</v>
      </c>
      <c r="CY648" s="2">
        <f t="shared" si="568"/>
        <v>0</v>
      </c>
      <c r="CZ648" s="2">
        <f t="shared" si="568"/>
        <v>0</v>
      </c>
      <c r="DA648" s="2">
        <f t="shared" si="568"/>
        <v>0</v>
      </c>
      <c r="DB648" s="2">
        <f t="shared" si="568"/>
        <v>0</v>
      </c>
      <c r="DC648" s="2">
        <f t="shared" si="568"/>
        <v>0</v>
      </c>
      <c r="DD648" s="2">
        <f t="shared" si="568"/>
        <v>0</v>
      </c>
      <c r="DE648" s="2">
        <f t="shared" si="568"/>
        <v>0</v>
      </c>
      <c r="DF648" s="2">
        <f t="shared" si="568"/>
        <v>0</v>
      </c>
      <c r="DG648" s="3">
        <f t="shared" ref="DG648:EL648" si="569">DG685</f>
        <v>0</v>
      </c>
      <c r="DH648" s="3">
        <f t="shared" si="569"/>
        <v>0</v>
      </c>
      <c r="DI648" s="3">
        <f t="shared" si="569"/>
        <v>0</v>
      </c>
      <c r="DJ648" s="3">
        <f t="shared" si="569"/>
        <v>0</v>
      </c>
      <c r="DK648" s="3">
        <f t="shared" si="569"/>
        <v>0</v>
      </c>
      <c r="DL648" s="3">
        <f t="shared" si="569"/>
        <v>0</v>
      </c>
      <c r="DM648" s="3">
        <f t="shared" si="569"/>
        <v>0</v>
      </c>
      <c r="DN648" s="3">
        <f t="shared" si="569"/>
        <v>0</v>
      </c>
      <c r="DO648" s="3">
        <f t="shared" si="569"/>
        <v>0</v>
      </c>
      <c r="DP648" s="3">
        <f t="shared" si="569"/>
        <v>0</v>
      </c>
      <c r="DQ648" s="3">
        <f t="shared" si="569"/>
        <v>0</v>
      </c>
      <c r="DR648" s="3">
        <f t="shared" si="569"/>
        <v>0</v>
      </c>
      <c r="DS648" s="3">
        <f t="shared" si="569"/>
        <v>0</v>
      </c>
      <c r="DT648" s="3">
        <f t="shared" si="569"/>
        <v>0</v>
      </c>
      <c r="DU648" s="3">
        <f t="shared" si="569"/>
        <v>0</v>
      </c>
      <c r="DV648" s="3">
        <f t="shared" si="569"/>
        <v>0</v>
      </c>
      <c r="DW648" s="3">
        <f t="shared" si="569"/>
        <v>0</v>
      </c>
      <c r="DX648" s="3">
        <f t="shared" si="569"/>
        <v>0</v>
      </c>
      <c r="DY648" s="3">
        <f t="shared" si="569"/>
        <v>0</v>
      </c>
      <c r="DZ648" s="3">
        <f t="shared" si="569"/>
        <v>0</v>
      </c>
      <c r="EA648" s="3">
        <f t="shared" si="569"/>
        <v>0</v>
      </c>
      <c r="EB648" s="3">
        <f t="shared" si="569"/>
        <v>0</v>
      </c>
      <c r="EC648" s="3">
        <f t="shared" si="569"/>
        <v>0</v>
      </c>
      <c r="ED648" s="3">
        <f t="shared" si="569"/>
        <v>0</v>
      </c>
      <c r="EE648" s="3">
        <f t="shared" si="569"/>
        <v>0</v>
      </c>
      <c r="EF648" s="3">
        <f t="shared" si="569"/>
        <v>0</v>
      </c>
      <c r="EG648" s="3">
        <f t="shared" si="569"/>
        <v>0</v>
      </c>
      <c r="EH648" s="3">
        <f t="shared" si="569"/>
        <v>0</v>
      </c>
      <c r="EI648" s="3">
        <f t="shared" si="569"/>
        <v>0</v>
      </c>
      <c r="EJ648" s="3">
        <f t="shared" si="569"/>
        <v>0</v>
      </c>
      <c r="EK648" s="3">
        <f t="shared" si="569"/>
        <v>0</v>
      </c>
      <c r="EL648" s="3">
        <f t="shared" si="569"/>
        <v>0</v>
      </c>
      <c r="EM648" s="3">
        <f t="shared" ref="EM648:FR648" si="570">EM685</f>
        <v>0</v>
      </c>
      <c r="EN648" s="3">
        <f t="shared" si="570"/>
        <v>0</v>
      </c>
      <c r="EO648" s="3">
        <f t="shared" si="570"/>
        <v>0</v>
      </c>
      <c r="EP648" s="3">
        <f t="shared" si="570"/>
        <v>0</v>
      </c>
      <c r="EQ648" s="3">
        <f t="shared" si="570"/>
        <v>0</v>
      </c>
      <c r="ER648" s="3">
        <f t="shared" si="570"/>
        <v>0</v>
      </c>
      <c r="ES648" s="3">
        <f t="shared" si="570"/>
        <v>0</v>
      </c>
      <c r="ET648" s="3">
        <f t="shared" si="570"/>
        <v>0</v>
      </c>
      <c r="EU648" s="3">
        <f t="shared" si="570"/>
        <v>0</v>
      </c>
      <c r="EV648" s="3">
        <f t="shared" si="570"/>
        <v>0</v>
      </c>
      <c r="EW648" s="3">
        <f t="shared" si="570"/>
        <v>0</v>
      </c>
      <c r="EX648" s="3">
        <f t="shared" si="570"/>
        <v>0</v>
      </c>
      <c r="EY648" s="3">
        <f t="shared" si="570"/>
        <v>0</v>
      </c>
      <c r="EZ648" s="3">
        <f t="shared" si="570"/>
        <v>0</v>
      </c>
      <c r="FA648" s="3">
        <f t="shared" si="570"/>
        <v>0</v>
      </c>
      <c r="FB648" s="3">
        <f t="shared" si="570"/>
        <v>0</v>
      </c>
      <c r="FC648" s="3">
        <f t="shared" si="570"/>
        <v>0</v>
      </c>
      <c r="FD648" s="3">
        <f t="shared" si="570"/>
        <v>0</v>
      </c>
      <c r="FE648" s="3">
        <f t="shared" si="570"/>
        <v>0</v>
      </c>
      <c r="FF648" s="3">
        <f t="shared" si="570"/>
        <v>0</v>
      </c>
      <c r="FG648" s="3">
        <f t="shared" si="570"/>
        <v>0</v>
      </c>
      <c r="FH648" s="3">
        <f t="shared" si="570"/>
        <v>0</v>
      </c>
      <c r="FI648" s="3">
        <f t="shared" si="570"/>
        <v>0</v>
      </c>
      <c r="FJ648" s="3">
        <f t="shared" si="570"/>
        <v>0</v>
      </c>
      <c r="FK648" s="3">
        <f t="shared" si="570"/>
        <v>0</v>
      </c>
      <c r="FL648" s="3">
        <f t="shared" si="570"/>
        <v>0</v>
      </c>
      <c r="FM648" s="3">
        <f t="shared" si="570"/>
        <v>0</v>
      </c>
      <c r="FN648" s="3">
        <f t="shared" si="570"/>
        <v>0</v>
      </c>
      <c r="FO648" s="3">
        <f t="shared" si="570"/>
        <v>0</v>
      </c>
      <c r="FP648" s="3">
        <f t="shared" si="570"/>
        <v>0</v>
      </c>
      <c r="FQ648" s="3">
        <f t="shared" si="570"/>
        <v>0</v>
      </c>
      <c r="FR648" s="3">
        <f t="shared" si="570"/>
        <v>0</v>
      </c>
      <c r="FS648" s="3">
        <f t="shared" ref="FS648:GX648" si="571">FS685</f>
        <v>0</v>
      </c>
      <c r="FT648" s="3">
        <f t="shared" si="571"/>
        <v>0</v>
      </c>
      <c r="FU648" s="3">
        <f t="shared" si="571"/>
        <v>0</v>
      </c>
      <c r="FV648" s="3">
        <f t="shared" si="571"/>
        <v>0</v>
      </c>
      <c r="FW648" s="3">
        <f t="shared" si="571"/>
        <v>0</v>
      </c>
      <c r="FX648" s="3">
        <f t="shared" si="571"/>
        <v>0</v>
      </c>
      <c r="FY648" s="3">
        <f t="shared" si="571"/>
        <v>0</v>
      </c>
      <c r="FZ648" s="3">
        <f t="shared" si="571"/>
        <v>0</v>
      </c>
      <c r="GA648" s="3">
        <f t="shared" si="571"/>
        <v>0</v>
      </c>
      <c r="GB648" s="3">
        <f t="shared" si="571"/>
        <v>0</v>
      </c>
      <c r="GC648" s="3">
        <f t="shared" si="571"/>
        <v>0</v>
      </c>
      <c r="GD648" s="3">
        <f t="shared" si="571"/>
        <v>0</v>
      </c>
      <c r="GE648" s="3">
        <f t="shared" si="571"/>
        <v>0</v>
      </c>
      <c r="GF648" s="3">
        <f t="shared" si="571"/>
        <v>0</v>
      </c>
      <c r="GG648" s="3">
        <f t="shared" si="571"/>
        <v>0</v>
      </c>
      <c r="GH648" s="3">
        <f t="shared" si="571"/>
        <v>0</v>
      </c>
      <c r="GI648" s="3">
        <f t="shared" si="571"/>
        <v>0</v>
      </c>
      <c r="GJ648" s="3">
        <f t="shared" si="571"/>
        <v>0</v>
      </c>
      <c r="GK648" s="3">
        <f t="shared" si="571"/>
        <v>0</v>
      </c>
      <c r="GL648" s="3">
        <f t="shared" si="571"/>
        <v>0</v>
      </c>
      <c r="GM648" s="3">
        <f t="shared" si="571"/>
        <v>0</v>
      </c>
      <c r="GN648" s="3">
        <f t="shared" si="571"/>
        <v>0</v>
      </c>
      <c r="GO648" s="3">
        <f t="shared" si="571"/>
        <v>0</v>
      </c>
      <c r="GP648" s="3">
        <f t="shared" si="571"/>
        <v>0</v>
      </c>
      <c r="GQ648" s="3">
        <f t="shared" si="571"/>
        <v>0</v>
      </c>
      <c r="GR648" s="3">
        <f t="shared" si="571"/>
        <v>0</v>
      </c>
      <c r="GS648" s="3">
        <f t="shared" si="571"/>
        <v>0</v>
      </c>
      <c r="GT648" s="3">
        <f t="shared" si="571"/>
        <v>0</v>
      </c>
      <c r="GU648" s="3">
        <f t="shared" si="571"/>
        <v>0</v>
      </c>
      <c r="GV648" s="3">
        <f t="shared" si="571"/>
        <v>0</v>
      </c>
      <c r="GW648" s="3">
        <f t="shared" si="571"/>
        <v>0</v>
      </c>
      <c r="GX648" s="3">
        <f t="shared" si="571"/>
        <v>0</v>
      </c>
    </row>
    <row r="650" spans="1:245" x14ac:dyDescent="0.2">
      <c r="A650">
        <v>19</v>
      </c>
      <c r="B650">
        <v>1</v>
      </c>
      <c r="F650" t="s">
        <v>3</v>
      </c>
      <c r="G650" t="s">
        <v>319</v>
      </c>
      <c r="H650" t="s">
        <v>3</v>
      </c>
      <c r="AA650">
        <v>1</v>
      </c>
      <c r="IK650">
        <v>0</v>
      </c>
    </row>
    <row r="651" spans="1:245" x14ac:dyDescent="0.2">
      <c r="A651">
        <v>17</v>
      </c>
      <c r="B651">
        <v>1</v>
      </c>
      <c r="D651">
        <f>ROW(EtalonRes!A351)</f>
        <v>351</v>
      </c>
      <c r="E651" t="s">
        <v>374</v>
      </c>
      <c r="F651" t="s">
        <v>199</v>
      </c>
      <c r="G651" t="s">
        <v>321</v>
      </c>
      <c r="H651" t="s">
        <v>36</v>
      </c>
      <c r="I651">
        <f>ROUND(1*10,9)</f>
        <v>10</v>
      </c>
      <c r="J651">
        <v>0</v>
      </c>
      <c r="K651">
        <f>ROUND(1*10,9)</f>
        <v>10</v>
      </c>
      <c r="O651">
        <f t="shared" ref="O651:O660" si="572">ROUND(CP651,2)</f>
        <v>150252.9</v>
      </c>
      <c r="P651">
        <f t="shared" ref="P651:P660" si="573">ROUND(CQ651*I651,2)</f>
        <v>2055.3000000000002</v>
      </c>
      <c r="Q651">
        <f t="shared" ref="Q651:Q660" si="574">ROUND(CR651*I651,2)</f>
        <v>0</v>
      </c>
      <c r="R651">
        <f t="shared" ref="R651:R660" si="575">ROUND(CS651*I651,2)</f>
        <v>0</v>
      </c>
      <c r="S651">
        <f t="shared" ref="S651:S660" si="576">ROUND(CT651*I651,2)</f>
        <v>148197.6</v>
      </c>
      <c r="T651">
        <f t="shared" ref="T651:T660" si="577">ROUND(CU651*I651,2)</f>
        <v>0</v>
      </c>
      <c r="U651">
        <f t="shared" ref="U651:U660" si="578">CV651*I651</f>
        <v>240</v>
      </c>
      <c r="V651">
        <f t="shared" ref="V651:V660" si="579">CW651*I651</f>
        <v>0</v>
      </c>
      <c r="W651">
        <f t="shared" ref="W651:W660" si="580">ROUND(CX651*I651,2)</f>
        <v>0</v>
      </c>
      <c r="X651">
        <f t="shared" ref="X651:X660" si="581">ROUND(CY651,2)</f>
        <v>103738.32</v>
      </c>
      <c r="Y651">
        <f t="shared" ref="Y651:Y660" si="582">ROUND(CZ651,2)</f>
        <v>14819.76</v>
      </c>
      <c r="AA651">
        <v>1471718271</v>
      </c>
      <c r="AB651">
        <f t="shared" ref="AB651:AB660" si="583">ROUND((AC651+AD651+AF651),6)</f>
        <v>15025.29</v>
      </c>
      <c r="AC651">
        <f>ROUND((ES651),6)</f>
        <v>205.53</v>
      </c>
      <c r="AD651">
        <f>ROUND((((ET651)-(EU651))+AE651),6)</f>
        <v>0</v>
      </c>
      <c r="AE651">
        <f>ROUND((EU651),6)</f>
        <v>0</v>
      </c>
      <c r="AF651">
        <f>ROUND((EV651),6)</f>
        <v>14819.76</v>
      </c>
      <c r="AG651">
        <f t="shared" ref="AG651:AG660" si="584">ROUND((AP651),6)</f>
        <v>0</v>
      </c>
      <c r="AH651">
        <f>(EW651)</f>
        <v>24</v>
      </c>
      <c r="AI651">
        <f>(EX651)</f>
        <v>0</v>
      </c>
      <c r="AJ651">
        <f t="shared" ref="AJ651:AJ660" si="585">(AS651)</f>
        <v>0</v>
      </c>
      <c r="AK651">
        <v>15025.29</v>
      </c>
      <c r="AL651">
        <v>205.53</v>
      </c>
      <c r="AM651">
        <v>0</v>
      </c>
      <c r="AN651">
        <v>0</v>
      </c>
      <c r="AO651">
        <v>14819.76</v>
      </c>
      <c r="AP651">
        <v>0</v>
      </c>
      <c r="AQ651">
        <v>24</v>
      </c>
      <c r="AR651">
        <v>0</v>
      </c>
      <c r="AS651">
        <v>0</v>
      </c>
      <c r="AT651">
        <v>70</v>
      </c>
      <c r="AU651">
        <v>10</v>
      </c>
      <c r="AV651">
        <v>1</v>
      </c>
      <c r="AW651">
        <v>1</v>
      </c>
      <c r="AZ651">
        <v>1</v>
      </c>
      <c r="BA651">
        <v>1</v>
      </c>
      <c r="BB651">
        <v>1</v>
      </c>
      <c r="BC651">
        <v>1</v>
      </c>
      <c r="BD651" t="s">
        <v>3</v>
      </c>
      <c r="BE651" t="s">
        <v>3</v>
      </c>
      <c r="BF651" t="s">
        <v>3</v>
      </c>
      <c r="BG651" t="s">
        <v>3</v>
      </c>
      <c r="BH651">
        <v>0</v>
      </c>
      <c r="BI651">
        <v>4</v>
      </c>
      <c r="BJ651" t="s">
        <v>201</v>
      </c>
      <c r="BM651">
        <v>0</v>
      </c>
      <c r="BN651">
        <v>0</v>
      </c>
      <c r="BO651" t="s">
        <v>3</v>
      </c>
      <c r="BP651">
        <v>0</v>
      </c>
      <c r="BQ651">
        <v>1</v>
      </c>
      <c r="BR651">
        <v>0</v>
      </c>
      <c r="BS651">
        <v>1</v>
      </c>
      <c r="BT651">
        <v>1</v>
      </c>
      <c r="BU651">
        <v>1</v>
      </c>
      <c r="BV651">
        <v>1</v>
      </c>
      <c r="BW651">
        <v>1</v>
      </c>
      <c r="BX651">
        <v>1</v>
      </c>
      <c r="BY651" t="s">
        <v>3</v>
      </c>
      <c r="BZ651">
        <v>70</v>
      </c>
      <c r="CA651">
        <v>10</v>
      </c>
      <c r="CB651" t="s">
        <v>3</v>
      </c>
      <c r="CE651">
        <v>0</v>
      </c>
      <c r="CF651">
        <v>0</v>
      </c>
      <c r="CG651">
        <v>0</v>
      </c>
      <c r="CM651">
        <v>0</v>
      </c>
      <c r="CN651" t="s">
        <v>3</v>
      </c>
      <c r="CO651">
        <v>0</v>
      </c>
      <c r="CP651">
        <f t="shared" ref="CP651:CP660" si="586">(P651+Q651+S651)</f>
        <v>150252.9</v>
      </c>
      <c r="CQ651">
        <f t="shared" ref="CQ651:CQ660" si="587">(AC651*BC651*AW651)</f>
        <v>205.53</v>
      </c>
      <c r="CR651">
        <f>((((ET651)*BB651-(EU651)*BS651)+AE651*BS651)*AV651)</f>
        <v>0</v>
      </c>
      <c r="CS651">
        <f t="shared" ref="CS651:CS660" si="588">(AE651*BS651*AV651)</f>
        <v>0</v>
      </c>
      <c r="CT651">
        <f t="shared" ref="CT651:CT660" si="589">(AF651*BA651*AV651)</f>
        <v>14819.76</v>
      </c>
      <c r="CU651">
        <f t="shared" ref="CU651:CU660" si="590">AG651</f>
        <v>0</v>
      </c>
      <c r="CV651">
        <f t="shared" ref="CV651:CV660" si="591">(AH651*AV651)</f>
        <v>24</v>
      </c>
      <c r="CW651">
        <f t="shared" ref="CW651:CW660" si="592">AI651</f>
        <v>0</v>
      </c>
      <c r="CX651">
        <f t="shared" ref="CX651:CX660" si="593">AJ651</f>
        <v>0</v>
      </c>
      <c r="CY651">
        <f t="shared" ref="CY651:CY660" si="594">((S651*BZ651)/100)</f>
        <v>103738.32</v>
      </c>
      <c r="CZ651">
        <f t="shared" ref="CZ651:CZ660" si="595">((S651*CA651)/100)</f>
        <v>14819.76</v>
      </c>
      <c r="DC651" t="s">
        <v>3</v>
      </c>
      <c r="DD651" t="s">
        <v>3</v>
      </c>
      <c r="DE651" t="s">
        <v>3</v>
      </c>
      <c r="DF651" t="s">
        <v>3</v>
      </c>
      <c r="DG651" t="s">
        <v>3</v>
      </c>
      <c r="DH651" t="s">
        <v>3</v>
      </c>
      <c r="DI651" t="s">
        <v>3</v>
      </c>
      <c r="DJ651" t="s">
        <v>3</v>
      </c>
      <c r="DK651" t="s">
        <v>3</v>
      </c>
      <c r="DL651" t="s">
        <v>3</v>
      </c>
      <c r="DM651" t="s">
        <v>3</v>
      </c>
      <c r="DN651">
        <v>0</v>
      </c>
      <c r="DO651">
        <v>0</v>
      </c>
      <c r="DP651">
        <v>1</v>
      </c>
      <c r="DQ651">
        <v>1</v>
      </c>
      <c r="DU651">
        <v>16987630</v>
      </c>
      <c r="DV651" t="s">
        <v>36</v>
      </c>
      <c r="DW651" t="s">
        <v>36</v>
      </c>
      <c r="DX651">
        <v>1</v>
      </c>
      <c r="DZ651" t="s">
        <v>3</v>
      </c>
      <c r="EA651" t="s">
        <v>3</v>
      </c>
      <c r="EB651" t="s">
        <v>3</v>
      </c>
      <c r="EC651" t="s">
        <v>3</v>
      </c>
      <c r="EE651">
        <v>1441815344</v>
      </c>
      <c r="EF651">
        <v>1</v>
      </c>
      <c r="EG651" t="s">
        <v>21</v>
      </c>
      <c r="EH651">
        <v>0</v>
      </c>
      <c r="EI651" t="s">
        <v>3</v>
      </c>
      <c r="EJ651">
        <v>4</v>
      </c>
      <c r="EK651">
        <v>0</v>
      </c>
      <c r="EL651" t="s">
        <v>22</v>
      </c>
      <c r="EM651" t="s">
        <v>23</v>
      </c>
      <c r="EO651" t="s">
        <v>3</v>
      </c>
      <c r="EQ651">
        <v>0</v>
      </c>
      <c r="ER651">
        <v>15025.29</v>
      </c>
      <c r="ES651">
        <v>205.53</v>
      </c>
      <c r="ET651">
        <v>0</v>
      </c>
      <c r="EU651">
        <v>0</v>
      </c>
      <c r="EV651">
        <v>14819.76</v>
      </c>
      <c r="EW651">
        <v>24</v>
      </c>
      <c r="EX651">
        <v>0</v>
      </c>
      <c r="EY651">
        <v>0</v>
      </c>
      <c r="FQ651">
        <v>0</v>
      </c>
      <c r="FR651">
        <f t="shared" ref="FR651:FR660" si="596">ROUND(IF(BI651=3,GM651,0),2)</f>
        <v>0</v>
      </c>
      <c r="FS651">
        <v>0</v>
      </c>
      <c r="FX651">
        <v>70</v>
      </c>
      <c r="FY651">
        <v>10</v>
      </c>
      <c r="GA651" t="s">
        <v>3</v>
      </c>
      <c r="GD651">
        <v>0</v>
      </c>
      <c r="GF651">
        <v>911913616</v>
      </c>
      <c r="GG651">
        <v>2</v>
      </c>
      <c r="GH651">
        <v>1</v>
      </c>
      <c r="GI651">
        <v>-2</v>
      </c>
      <c r="GJ651">
        <v>0</v>
      </c>
      <c r="GK651">
        <f>ROUND(R651*(R12)/100,2)</f>
        <v>0</v>
      </c>
      <c r="GL651">
        <f t="shared" ref="GL651:GL660" si="597">ROUND(IF(AND(BH651=3,BI651=3,FS651&lt;&gt;0),P651,0),2)</f>
        <v>0</v>
      </c>
      <c r="GM651">
        <f t="shared" ref="GM651:GM660" si="598">ROUND(O651+X651+Y651+GK651,2)+GX651</f>
        <v>268810.98</v>
      </c>
      <c r="GN651">
        <f t="shared" ref="GN651:GN660" si="599">IF(OR(BI651=0,BI651=1),GM651-GX651,0)</f>
        <v>0</v>
      </c>
      <c r="GO651">
        <f t="shared" ref="GO651:GO660" si="600">IF(BI651=2,GM651-GX651,0)</f>
        <v>0</v>
      </c>
      <c r="GP651">
        <f t="shared" ref="GP651:GP660" si="601">IF(BI651=4,GM651-GX651,0)</f>
        <v>268810.98</v>
      </c>
      <c r="GR651">
        <v>0</v>
      </c>
      <c r="GS651">
        <v>3</v>
      </c>
      <c r="GT651">
        <v>0</v>
      </c>
      <c r="GU651" t="s">
        <v>3</v>
      </c>
      <c r="GV651">
        <f t="shared" ref="GV651:GV660" si="602">ROUND((GT651),6)</f>
        <v>0</v>
      </c>
      <c r="GW651">
        <v>1</v>
      </c>
      <c r="GX651">
        <f t="shared" ref="GX651:GX660" si="603">ROUND(HC651*I651,2)</f>
        <v>0</v>
      </c>
      <c r="HA651">
        <v>0</v>
      </c>
      <c r="HB651">
        <v>0</v>
      </c>
      <c r="HC651">
        <f t="shared" ref="HC651:HC660" si="604">GV651*GW651</f>
        <v>0</v>
      </c>
      <c r="HE651" t="s">
        <v>3</v>
      </c>
      <c r="HF651" t="s">
        <v>3</v>
      </c>
      <c r="HM651" t="s">
        <v>3</v>
      </c>
      <c r="HN651" t="s">
        <v>3</v>
      </c>
      <c r="HO651" t="s">
        <v>3</v>
      </c>
      <c r="HP651" t="s">
        <v>3</v>
      </c>
      <c r="HQ651" t="s">
        <v>3</v>
      </c>
      <c r="IK651">
        <v>0</v>
      </c>
    </row>
    <row r="652" spans="1:245" x14ac:dyDescent="0.2">
      <c r="A652">
        <v>17</v>
      </c>
      <c r="B652">
        <v>1</v>
      </c>
      <c r="D652">
        <f>ROW(EtalonRes!A353)</f>
        <v>353</v>
      </c>
      <c r="E652" t="s">
        <v>3</v>
      </c>
      <c r="F652" t="s">
        <v>202</v>
      </c>
      <c r="G652" t="s">
        <v>322</v>
      </c>
      <c r="H652" t="s">
        <v>36</v>
      </c>
      <c r="I652">
        <f>ROUND(1*10,9)</f>
        <v>10</v>
      </c>
      <c r="J652">
        <v>0</v>
      </c>
      <c r="K652">
        <f>ROUND(1*10,9)</f>
        <v>10</v>
      </c>
      <c r="O652">
        <f t="shared" si="572"/>
        <v>14841.9</v>
      </c>
      <c r="P652">
        <f t="shared" si="573"/>
        <v>22.2</v>
      </c>
      <c r="Q652">
        <f t="shared" si="574"/>
        <v>0</v>
      </c>
      <c r="R652">
        <f t="shared" si="575"/>
        <v>0</v>
      </c>
      <c r="S652">
        <f t="shared" si="576"/>
        <v>14819.7</v>
      </c>
      <c r="T652">
        <f t="shared" si="577"/>
        <v>0</v>
      </c>
      <c r="U652">
        <f t="shared" si="578"/>
        <v>24.000000000000004</v>
      </c>
      <c r="V652">
        <f t="shared" si="579"/>
        <v>0</v>
      </c>
      <c r="W652">
        <f t="shared" si="580"/>
        <v>0</v>
      </c>
      <c r="X652">
        <f t="shared" si="581"/>
        <v>10373.790000000001</v>
      </c>
      <c r="Y652">
        <f t="shared" si="582"/>
        <v>1481.97</v>
      </c>
      <c r="AA652">
        <v>-1</v>
      </c>
      <c r="AB652">
        <f t="shared" si="583"/>
        <v>1484.19</v>
      </c>
      <c r="AC652">
        <f>ROUND(((ES652*3)),6)</f>
        <v>2.2200000000000002</v>
      </c>
      <c r="AD652">
        <f>ROUND(((((ET652*3))-((EU652*3)))+AE652),6)</f>
        <v>0</v>
      </c>
      <c r="AE652">
        <f>ROUND(((EU652*3)),6)</f>
        <v>0</v>
      </c>
      <c r="AF652">
        <f>ROUND(((EV652*3)),6)</f>
        <v>1481.97</v>
      </c>
      <c r="AG652">
        <f t="shared" si="584"/>
        <v>0</v>
      </c>
      <c r="AH652">
        <f>((EW652*3))</f>
        <v>2.4000000000000004</v>
      </c>
      <c r="AI652">
        <f>((EX652*3))</f>
        <v>0</v>
      </c>
      <c r="AJ652">
        <f t="shared" si="585"/>
        <v>0</v>
      </c>
      <c r="AK652">
        <v>494.73</v>
      </c>
      <c r="AL652">
        <v>0.74</v>
      </c>
      <c r="AM652">
        <v>0</v>
      </c>
      <c r="AN652">
        <v>0</v>
      </c>
      <c r="AO652">
        <v>493.99</v>
      </c>
      <c r="AP652">
        <v>0</v>
      </c>
      <c r="AQ652">
        <v>0.8</v>
      </c>
      <c r="AR652">
        <v>0</v>
      </c>
      <c r="AS652">
        <v>0</v>
      </c>
      <c r="AT652">
        <v>70</v>
      </c>
      <c r="AU652">
        <v>10</v>
      </c>
      <c r="AV652">
        <v>1</v>
      </c>
      <c r="AW652">
        <v>1</v>
      </c>
      <c r="AZ652">
        <v>1</v>
      </c>
      <c r="BA652">
        <v>1</v>
      </c>
      <c r="BB652">
        <v>1</v>
      </c>
      <c r="BC652">
        <v>1</v>
      </c>
      <c r="BD652" t="s">
        <v>3</v>
      </c>
      <c r="BE652" t="s">
        <v>3</v>
      </c>
      <c r="BF652" t="s">
        <v>3</v>
      </c>
      <c r="BG652" t="s">
        <v>3</v>
      </c>
      <c r="BH652">
        <v>0</v>
      </c>
      <c r="BI652">
        <v>4</v>
      </c>
      <c r="BJ652" t="s">
        <v>204</v>
      </c>
      <c r="BM652">
        <v>0</v>
      </c>
      <c r="BN652">
        <v>0</v>
      </c>
      <c r="BO652" t="s">
        <v>3</v>
      </c>
      <c r="BP652">
        <v>0</v>
      </c>
      <c r="BQ652">
        <v>1</v>
      </c>
      <c r="BR652">
        <v>0</v>
      </c>
      <c r="BS652">
        <v>1</v>
      </c>
      <c r="BT652">
        <v>1</v>
      </c>
      <c r="BU652">
        <v>1</v>
      </c>
      <c r="BV652">
        <v>1</v>
      </c>
      <c r="BW652">
        <v>1</v>
      </c>
      <c r="BX652">
        <v>1</v>
      </c>
      <c r="BY652" t="s">
        <v>3</v>
      </c>
      <c r="BZ652">
        <v>70</v>
      </c>
      <c r="CA652">
        <v>10</v>
      </c>
      <c r="CB652" t="s">
        <v>3</v>
      </c>
      <c r="CE652">
        <v>0</v>
      </c>
      <c r="CF652">
        <v>0</v>
      </c>
      <c r="CG652">
        <v>0</v>
      </c>
      <c r="CM652">
        <v>0</v>
      </c>
      <c r="CN652" t="s">
        <v>3</v>
      </c>
      <c r="CO652">
        <v>0</v>
      </c>
      <c r="CP652">
        <f t="shared" si="586"/>
        <v>14841.900000000001</v>
      </c>
      <c r="CQ652">
        <f t="shared" si="587"/>
        <v>2.2200000000000002</v>
      </c>
      <c r="CR652">
        <f>(((((ET652*3))*BB652-((EU652*3))*BS652)+AE652*BS652)*AV652)</f>
        <v>0</v>
      </c>
      <c r="CS652">
        <f t="shared" si="588"/>
        <v>0</v>
      </c>
      <c r="CT652">
        <f t="shared" si="589"/>
        <v>1481.97</v>
      </c>
      <c r="CU652">
        <f t="shared" si="590"/>
        <v>0</v>
      </c>
      <c r="CV652">
        <f t="shared" si="591"/>
        <v>2.4000000000000004</v>
      </c>
      <c r="CW652">
        <f t="shared" si="592"/>
        <v>0</v>
      </c>
      <c r="CX652">
        <f t="shared" si="593"/>
        <v>0</v>
      </c>
      <c r="CY652">
        <f t="shared" si="594"/>
        <v>10373.790000000001</v>
      </c>
      <c r="CZ652">
        <f t="shared" si="595"/>
        <v>1481.97</v>
      </c>
      <c r="DC652" t="s">
        <v>3</v>
      </c>
      <c r="DD652" t="s">
        <v>163</v>
      </c>
      <c r="DE652" t="s">
        <v>163</v>
      </c>
      <c r="DF652" t="s">
        <v>163</v>
      </c>
      <c r="DG652" t="s">
        <v>163</v>
      </c>
      <c r="DH652" t="s">
        <v>3</v>
      </c>
      <c r="DI652" t="s">
        <v>163</v>
      </c>
      <c r="DJ652" t="s">
        <v>163</v>
      </c>
      <c r="DK652" t="s">
        <v>3</v>
      </c>
      <c r="DL652" t="s">
        <v>3</v>
      </c>
      <c r="DM652" t="s">
        <v>3</v>
      </c>
      <c r="DN652">
        <v>0</v>
      </c>
      <c r="DO652">
        <v>0</v>
      </c>
      <c r="DP652">
        <v>1</v>
      </c>
      <c r="DQ652">
        <v>1</v>
      </c>
      <c r="DU652">
        <v>16987630</v>
      </c>
      <c r="DV652" t="s">
        <v>36</v>
      </c>
      <c r="DW652" t="s">
        <v>36</v>
      </c>
      <c r="DX652">
        <v>1</v>
      </c>
      <c r="DZ652" t="s">
        <v>3</v>
      </c>
      <c r="EA652" t="s">
        <v>3</v>
      </c>
      <c r="EB652" t="s">
        <v>3</v>
      </c>
      <c r="EC652" t="s">
        <v>3</v>
      </c>
      <c r="EE652">
        <v>1441815344</v>
      </c>
      <c r="EF652">
        <v>1</v>
      </c>
      <c r="EG652" t="s">
        <v>21</v>
      </c>
      <c r="EH652">
        <v>0</v>
      </c>
      <c r="EI652" t="s">
        <v>3</v>
      </c>
      <c r="EJ652">
        <v>4</v>
      </c>
      <c r="EK652">
        <v>0</v>
      </c>
      <c r="EL652" t="s">
        <v>22</v>
      </c>
      <c r="EM652" t="s">
        <v>23</v>
      </c>
      <c r="EO652" t="s">
        <v>3</v>
      </c>
      <c r="EQ652">
        <v>1024</v>
      </c>
      <c r="ER652">
        <v>494.73</v>
      </c>
      <c r="ES652">
        <v>0.74</v>
      </c>
      <c r="ET652">
        <v>0</v>
      </c>
      <c r="EU652">
        <v>0</v>
      </c>
      <c r="EV652">
        <v>493.99</v>
      </c>
      <c r="EW652">
        <v>0.8</v>
      </c>
      <c r="EX652">
        <v>0</v>
      </c>
      <c r="EY652">
        <v>0</v>
      </c>
      <c r="FQ652">
        <v>0</v>
      </c>
      <c r="FR652">
        <f t="shared" si="596"/>
        <v>0</v>
      </c>
      <c r="FS652">
        <v>0</v>
      </c>
      <c r="FX652">
        <v>70</v>
      </c>
      <c r="FY652">
        <v>10</v>
      </c>
      <c r="GA652" t="s">
        <v>3</v>
      </c>
      <c r="GD652">
        <v>0</v>
      </c>
      <c r="GF652">
        <v>-495732339</v>
      </c>
      <c r="GG652">
        <v>2</v>
      </c>
      <c r="GH652">
        <v>1</v>
      </c>
      <c r="GI652">
        <v>-2</v>
      </c>
      <c r="GJ652">
        <v>0</v>
      </c>
      <c r="GK652">
        <f>ROUND(R652*(R12)/100,2)</f>
        <v>0</v>
      </c>
      <c r="GL652">
        <f t="shared" si="597"/>
        <v>0</v>
      </c>
      <c r="GM652">
        <f t="shared" si="598"/>
        <v>26697.66</v>
      </c>
      <c r="GN652">
        <f t="shared" si="599"/>
        <v>0</v>
      </c>
      <c r="GO652">
        <f t="shared" si="600"/>
        <v>0</v>
      </c>
      <c r="GP652">
        <f t="shared" si="601"/>
        <v>26697.66</v>
      </c>
      <c r="GR652">
        <v>0</v>
      </c>
      <c r="GS652">
        <v>3</v>
      </c>
      <c r="GT652">
        <v>0</v>
      </c>
      <c r="GU652" t="s">
        <v>3</v>
      </c>
      <c r="GV652">
        <f t="shared" si="602"/>
        <v>0</v>
      </c>
      <c r="GW652">
        <v>1</v>
      </c>
      <c r="GX652">
        <f t="shared" si="603"/>
        <v>0</v>
      </c>
      <c r="HA652">
        <v>0</v>
      </c>
      <c r="HB652">
        <v>0</v>
      </c>
      <c r="HC652">
        <f t="shared" si="604"/>
        <v>0</v>
      </c>
      <c r="HE652" t="s">
        <v>3</v>
      </c>
      <c r="HF652" t="s">
        <v>3</v>
      </c>
      <c r="HM652" t="s">
        <v>3</v>
      </c>
      <c r="HN652" t="s">
        <v>3</v>
      </c>
      <c r="HO652" t="s">
        <v>3</v>
      </c>
      <c r="HP652" t="s">
        <v>3</v>
      </c>
      <c r="HQ652" t="s">
        <v>3</v>
      </c>
      <c r="IK652">
        <v>0</v>
      </c>
    </row>
    <row r="653" spans="1:245" x14ac:dyDescent="0.2">
      <c r="A653">
        <v>17</v>
      </c>
      <c r="B653">
        <v>1</v>
      </c>
      <c r="D653">
        <f>ROW(EtalonRes!A354)</f>
        <v>354</v>
      </c>
      <c r="E653" t="s">
        <v>3</v>
      </c>
      <c r="F653" t="s">
        <v>205</v>
      </c>
      <c r="G653" t="s">
        <v>323</v>
      </c>
      <c r="H653" t="s">
        <v>36</v>
      </c>
      <c r="I653">
        <f>ROUND(1*10,9)</f>
        <v>10</v>
      </c>
      <c r="J653">
        <v>0</v>
      </c>
      <c r="K653">
        <f>ROUND(1*10,9)</f>
        <v>10</v>
      </c>
      <c r="O653">
        <f t="shared" si="572"/>
        <v>926.1</v>
      </c>
      <c r="P653">
        <f t="shared" si="573"/>
        <v>0</v>
      </c>
      <c r="Q653">
        <f t="shared" si="574"/>
        <v>0</v>
      </c>
      <c r="R653">
        <f t="shared" si="575"/>
        <v>0</v>
      </c>
      <c r="S653">
        <f t="shared" si="576"/>
        <v>926.1</v>
      </c>
      <c r="T653">
        <f t="shared" si="577"/>
        <v>0</v>
      </c>
      <c r="U653">
        <f t="shared" si="578"/>
        <v>1.5000000000000002</v>
      </c>
      <c r="V653">
        <f t="shared" si="579"/>
        <v>0</v>
      </c>
      <c r="W653">
        <f t="shared" si="580"/>
        <v>0</v>
      </c>
      <c r="X653">
        <f t="shared" si="581"/>
        <v>648.27</v>
      </c>
      <c r="Y653">
        <f t="shared" si="582"/>
        <v>92.61</v>
      </c>
      <c r="AA653">
        <v>-1</v>
      </c>
      <c r="AB653">
        <f t="shared" si="583"/>
        <v>92.61</v>
      </c>
      <c r="AC653">
        <f>ROUND(((ES653*3)),6)</f>
        <v>0</v>
      </c>
      <c r="AD653">
        <f>ROUND(((((ET653*3))-((EU653*3)))+AE653),6)</f>
        <v>0</v>
      </c>
      <c r="AE653">
        <f>ROUND(((EU653*3)),6)</f>
        <v>0</v>
      </c>
      <c r="AF653">
        <f>ROUND(((EV653*3)),6)</f>
        <v>92.61</v>
      </c>
      <c r="AG653">
        <f t="shared" si="584"/>
        <v>0</v>
      </c>
      <c r="AH653">
        <f>((EW653*3))</f>
        <v>0.15000000000000002</v>
      </c>
      <c r="AI653">
        <f>((EX653*3))</f>
        <v>0</v>
      </c>
      <c r="AJ653">
        <f t="shared" si="585"/>
        <v>0</v>
      </c>
      <c r="AK653">
        <v>30.87</v>
      </c>
      <c r="AL653">
        <v>0</v>
      </c>
      <c r="AM653">
        <v>0</v>
      </c>
      <c r="AN653">
        <v>0</v>
      </c>
      <c r="AO653">
        <v>30.87</v>
      </c>
      <c r="AP653">
        <v>0</v>
      </c>
      <c r="AQ653">
        <v>0.05</v>
      </c>
      <c r="AR653">
        <v>0</v>
      </c>
      <c r="AS653">
        <v>0</v>
      </c>
      <c r="AT653">
        <v>70</v>
      </c>
      <c r="AU653">
        <v>10</v>
      </c>
      <c r="AV653">
        <v>1</v>
      </c>
      <c r="AW653">
        <v>1</v>
      </c>
      <c r="AZ653">
        <v>1</v>
      </c>
      <c r="BA653">
        <v>1</v>
      </c>
      <c r="BB653">
        <v>1</v>
      </c>
      <c r="BC653">
        <v>1</v>
      </c>
      <c r="BD653" t="s">
        <v>3</v>
      </c>
      <c r="BE653" t="s">
        <v>3</v>
      </c>
      <c r="BF653" t="s">
        <v>3</v>
      </c>
      <c r="BG653" t="s">
        <v>3</v>
      </c>
      <c r="BH653">
        <v>0</v>
      </c>
      <c r="BI653">
        <v>4</v>
      </c>
      <c r="BJ653" t="s">
        <v>207</v>
      </c>
      <c r="BM653">
        <v>0</v>
      </c>
      <c r="BN653">
        <v>0</v>
      </c>
      <c r="BO653" t="s">
        <v>3</v>
      </c>
      <c r="BP653">
        <v>0</v>
      </c>
      <c r="BQ653">
        <v>1</v>
      </c>
      <c r="BR653">
        <v>0</v>
      </c>
      <c r="BS653">
        <v>1</v>
      </c>
      <c r="BT653">
        <v>1</v>
      </c>
      <c r="BU653">
        <v>1</v>
      </c>
      <c r="BV653">
        <v>1</v>
      </c>
      <c r="BW653">
        <v>1</v>
      </c>
      <c r="BX653">
        <v>1</v>
      </c>
      <c r="BY653" t="s">
        <v>3</v>
      </c>
      <c r="BZ653">
        <v>70</v>
      </c>
      <c r="CA653">
        <v>10</v>
      </c>
      <c r="CB653" t="s">
        <v>3</v>
      </c>
      <c r="CE653">
        <v>0</v>
      </c>
      <c r="CF653">
        <v>0</v>
      </c>
      <c r="CG653">
        <v>0</v>
      </c>
      <c r="CM653">
        <v>0</v>
      </c>
      <c r="CN653" t="s">
        <v>3</v>
      </c>
      <c r="CO653">
        <v>0</v>
      </c>
      <c r="CP653">
        <f t="shared" si="586"/>
        <v>926.1</v>
      </c>
      <c r="CQ653">
        <f t="shared" si="587"/>
        <v>0</v>
      </c>
      <c r="CR653">
        <f>(((((ET653*3))*BB653-((EU653*3))*BS653)+AE653*BS653)*AV653)</f>
        <v>0</v>
      </c>
      <c r="CS653">
        <f t="shared" si="588"/>
        <v>0</v>
      </c>
      <c r="CT653">
        <f t="shared" si="589"/>
        <v>92.61</v>
      </c>
      <c r="CU653">
        <f t="shared" si="590"/>
        <v>0</v>
      </c>
      <c r="CV653">
        <f t="shared" si="591"/>
        <v>0.15000000000000002</v>
      </c>
      <c r="CW653">
        <f t="shared" si="592"/>
        <v>0</v>
      </c>
      <c r="CX653">
        <f t="shared" si="593"/>
        <v>0</v>
      </c>
      <c r="CY653">
        <f t="shared" si="594"/>
        <v>648.27</v>
      </c>
      <c r="CZ653">
        <f t="shared" si="595"/>
        <v>92.61</v>
      </c>
      <c r="DC653" t="s">
        <v>3</v>
      </c>
      <c r="DD653" t="s">
        <v>163</v>
      </c>
      <c r="DE653" t="s">
        <v>163</v>
      </c>
      <c r="DF653" t="s">
        <v>163</v>
      </c>
      <c r="DG653" t="s">
        <v>163</v>
      </c>
      <c r="DH653" t="s">
        <v>3</v>
      </c>
      <c r="DI653" t="s">
        <v>163</v>
      </c>
      <c r="DJ653" t="s">
        <v>163</v>
      </c>
      <c r="DK653" t="s">
        <v>3</v>
      </c>
      <c r="DL653" t="s">
        <v>3</v>
      </c>
      <c r="DM653" t="s">
        <v>3</v>
      </c>
      <c r="DN653">
        <v>0</v>
      </c>
      <c r="DO653">
        <v>0</v>
      </c>
      <c r="DP653">
        <v>1</v>
      </c>
      <c r="DQ653">
        <v>1</v>
      </c>
      <c r="DU653">
        <v>16987630</v>
      </c>
      <c r="DV653" t="s">
        <v>36</v>
      </c>
      <c r="DW653" t="s">
        <v>36</v>
      </c>
      <c r="DX653">
        <v>1</v>
      </c>
      <c r="DZ653" t="s">
        <v>3</v>
      </c>
      <c r="EA653" t="s">
        <v>3</v>
      </c>
      <c r="EB653" t="s">
        <v>3</v>
      </c>
      <c r="EC653" t="s">
        <v>3</v>
      </c>
      <c r="EE653">
        <v>1441815344</v>
      </c>
      <c r="EF653">
        <v>1</v>
      </c>
      <c r="EG653" t="s">
        <v>21</v>
      </c>
      <c r="EH653">
        <v>0</v>
      </c>
      <c r="EI653" t="s">
        <v>3</v>
      </c>
      <c r="EJ653">
        <v>4</v>
      </c>
      <c r="EK653">
        <v>0</v>
      </c>
      <c r="EL653" t="s">
        <v>22</v>
      </c>
      <c r="EM653" t="s">
        <v>23</v>
      </c>
      <c r="EO653" t="s">
        <v>3</v>
      </c>
      <c r="EQ653">
        <v>1024</v>
      </c>
      <c r="ER653">
        <v>30.87</v>
      </c>
      <c r="ES653">
        <v>0</v>
      </c>
      <c r="ET653">
        <v>0</v>
      </c>
      <c r="EU653">
        <v>0</v>
      </c>
      <c r="EV653">
        <v>30.87</v>
      </c>
      <c r="EW653">
        <v>0.05</v>
      </c>
      <c r="EX653">
        <v>0</v>
      </c>
      <c r="EY653">
        <v>0</v>
      </c>
      <c r="FQ653">
        <v>0</v>
      </c>
      <c r="FR653">
        <f t="shared" si="596"/>
        <v>0</v>
      </c>
      <c r="FS653">
        <v>0</v>
      </c>
      <c r="FX653">
        <v>70</v>
      </c>
      <c r="FY653">
        <v>10</v>
      </c>
      <c r="GA653" t="s">
        <v>3</v>
      </c>
      <c r="GD653">
        <v>0</v>
      </c>
      <c r="GF653">
        <v>521629998</v>
      </c>
      <c r="GG653">
        <v>2</v>
      </c>
      <c r="GH653">
        <v>1</v>
      </c>
      <c r="GI653">
        <v>-2</v>
      </c>
      <c r="GJ653">
        <v>0</v>
      </c>
      <c r="GK653">
        <f>ROUND(R653*(R12)/100,2)</f>
        <v>0</v>
      </c>
      <c r="GL653">
        <f t="shared" si="597"/>
        <v>0</v>
      </c>
      <c r="GM653">
        <f t="shared" si="598"/>
        <v>1666.98</v>
      </c>
      <c r="GN653">
        <f t="shared" si="599"/>
        <v>0</v>
      </c>
      <c r="GO653">
        <f t="shared" si="600"/>
        <v>0</v>
      </c>
      <c r="GP653">
        <f t="shared" si="601"/>
        <v>1666.98</v>
      </c>
      <c r="GR653">
        <v>0</v>
      </c>
      <c r="GS653">
        <v>3</v>
      </c>
      <c r="GT653">
        <v>0</v>
      </c>
      <c r="GU653" t="s">
        <v>3</v>
      </c>
      <c r="GV653">
        <f t="shared" si="602"/>
        <v>0</v>
      </c>
      <c r="GW653">
        <v>1</v>
      </c>
      <c r="GX653">
        <f t="shared" si="603"/>
        <v>0</v>
      </c>
      <c r="HA653">
        <v>0</v>
      </c>
      <c r="HB653">
        <v>0</v>
      </c>
      <c r="HC653">
        <f t="shared" si="604"/>
        <v>0</v>
      </c>
      <c r="HE653" t="s">
        <v>3</v>
      </c>
      <c r="HF653" t="s">
        <v>3</v>
      </c>
      <c r="HM653" t="s">
        <v>3</v>
      </c>
      <c r="HN653" t="s">
        <v>3</v>
      </c>
      <c r="HO653" t="s">
        <v>3</v>
      </c>
      <c r="HP653" t="s">
        <v>3</v>
      </c>
      <c r="HQ653" t="s">
        <v>3</v>
      </c>
      <c r="IK653">
        <v>0</v>
      </c>
    </row>
    <row r="654" spans="1:245" x14ac:dyDescent="0.2">
      <c r="A654">
        <v>17</v>
      </c>
      <c r="B654">
        <v>1</v>
      </c>
      <c r="D654">
        <f>ROW(EtalonRes!A360)</f>
        <v>360</v>
      </c>
      <c r="E654" t="s">
        <v>375</v>
      </c>
      <c r="F654" t="s">
        <v>209</v>
      </c>
      <c r="G654" t="s">
        <v>325</v>
      </c>
      <c r="H654" t="s">
        <v>36</v>
      </c>
      <c r="I654">
        <f>ROUND(1*10,9)</f>
        <v>10</v>
      </c>
      <c r="J654">
        <v>0</v>
      </c>
      <c r="K654">
        <f>ROUND(1*10,9)</f>
        <v>10</v>
      </c>
      <c r="O654">
        <f t="shared" si="572"/>
        <v>9386.2000000000007</v>
      </c>
      <c r="P654">
        <f t="shared" si="573"/>
        <v>123.9</v>
      </c>
      <c r="Q654">
        <f t="shared" si="574"/>
        <v>0</v>
      </c>
      <c r="R654">
        <f t="shared" si="575"/>
        <v>0</v>
      </c>
      <c r="S654">
        <f t="shared" si="576"/>
        <v>9262.2999999999993</v>
      </c>
      <c r="T654">
        <f t="shared" si="577"/>
        <v>0</v>
      </c>
      <c r="U654">
        <f t="shared" si="578"/>
        <v>15</v>
      </c>
      <c r="V654">
        <f t="shared" si="579"/>
        <v>0</v>
      </c>
      <c r="W654">
        <f t="shared" si="580"/>
        <v>0</v>
      </c>
      <c r="X654">
        <f t="shared" si="581"/>
        <v>6483.61</v>
      </c>
      <c r="Y654">
        <f t="shared" si="582"/>
        <v>926.23</v>
      </c>
      <c r="AA654">
        <v>1471718271</v>
      </c>
      <c r="AB654">
        <f t="shared" si="583"/>
        <v>938.62</v>
      </c>
      <c r="AC654">
        <f>ROUND((ES654),6)</f>
        <v>12.39</v>
      </c>
      <c r="AD654">
        <f>ROUND((((ET654)-(EU654))+AE654),6)</f>
        <v>0</v>
      </c>
      <c r="AE654">
        <f>ROUND((EU654),6)</f>
        <v>0</v>
      </c>
      <c r="AF654">
        <f>ROUND((EV654),6)</f>
        <v>926.23</v>
      </c>
      <c r="AG654">
        <f t="shared" si="584"/>
        <v>0</v>
      </c>
      <c r="AH654">
        <f>(EW654)</f>
        <v>1.5</v>
      </c>
      <c r="AI654">
        <f>(EX654)</f>
        <v>0</v>
      </c>
      <c r="AJ654">
        <f t="shared" si="585"/>
        <v>0</v>
      </c>
      <c r="AK654">
        <v>938.62</v>
      </c>
      <c r="AL654">
        <v>12.39</v>
      </c>
      <c r="AM654">
        <v>0</v>
      </c>
      <c r="AN654">
        <v>0</v>
      </c>
      <c r="AO654">
        <v>926.23</v>
      </c>
      <c r="AP654">
        <v>0</v>
      </c>
      <c r="AQ654">
        <v>1.5</v>
      </c>
      <c r="AR654">
        <v>0</v>
      </c>
      <c r="AS654">
        <v>0</v>
      </c>
      <c r="AT654">
        <v>70</v>
      </c>
      <c r="AU654">
        <v>10</v>
      </c>
      <c r="AV654">
        <v>1</v>
      </c>
      <c r="AW654">
        <v>1</v>
      </c>
      <c r="AZ654">
        <v>1</v>
      </c>
      <c r="BA654">
        <v>1</v>
      </c>
      <c r="BB654">
        <v>1</v>
      </c>
      <c r="BC654">
        <v>1</v>
      </c>
      <c r="BD654" t="s">
        <v>3</v>
      </c>
      <c r="BE654" t="s">
        <v>3</v>
      </c>
      <c r="BF654" t="s">
        <v>3</v>
      </c>
      <c r="BG654" t="s">
        <v>3</v>
      </c>
      <c r="BH654">
        <v>0</v>
      </c>
      <c r="BI654">
        <v>4</v>
      </c>
      <c r="BJ654" t="s">
        <v>211</v>
      </c>
      <c r="BM654">
        <v>0</v>
      </c>
      <c r="BN654">
        <v>0</v>
      </c>
      <c r="BO654" t="s">
        <v>3</v>
      </c>
      <c r="BP654">
        <v>0</v>
      </c>
      <c r="BQ654">
        <v>1</v>
      </c>
      <c r="BR654">
        <v>0</v>
      </c>
      <c r="BS654">
        <v>1</v>
      </c>
      <c r="BT654">
        <v>1</v>
      </c>
      <c r="BU654">
        <v>1</v>
      </c>
      <c r="BV654">
        <v>1</v>
      </c>
      <c r="BW654">
        <v>1</v>
      </c>
      <c r="BX654">
        <v>1</v>
      </c>
      <c r="BY654" t="s">
        <v>3</v>
      </c>
      <c r="BZ654">
        <v>70</v>
      </c>
      <c r="CA654">
        <v>10</v>
      </c>
      <c r="CB654" t="s">
        <v>3</v>
      </c>
      <c r="CE654">
        <v>0</v>
      </c>
      <c r="CF654">
        <v>0</v>
      </c>
      <c r="CG654">
        <v>0</v>
      </c>
      <c r="CM654">
        <v>0</v>
      </c>
      <c r="CN654" t="s">
        <v>3</v>
      </c>
      <c r="CO654">
        <v>0</v>
      </c>
      <c r="CP654">
        <f t="shared" si="586"/>
        <v>9386.1999999999989</v>
      </c>
      <c r="CQ654">
        <f t="shared" si="587"/>
        <v>12.39</v>
      </c>
      <c r="CR654">
        <f>((((ET654)*BB654-(EU654)*BS654)+AE654*BS654)*AV654)</f>
        <v>0</v>
      </c>
      <c r="CS654">
        <f t="shared" si="588"/>
        <v>0</v>
      </c>
      <c r="CT654">
        <f t="shared" si="589"/>
        <v>926.23</v>
      </c>
      <c r="CU654">
        <f t="shared" si="590"/>
        <v>0</v>
      </c>
      <c r="CV654">
        <f t="shared" si="591"/>
        <v>1.5</v>
      </c>
      <c r="CW654">
        <f t="shared" si="592"/>
        <v>0</v>
      </c>
      <c r="CX654">
        <f t="shared" si="593"/>
        <v>0</v>
      </c>
      <c r="CY654">
        <f t="shared" si="594"/>
        <v>6483.61</v>
      </c>
      <c r="CZ654">
        <f t="shared" si="595"/>
        <v>926.23</v>
      </c>
      <c r="DC654" t="s">
        <v>3</v>
      </c>
      <c r="DD654" t="s">
        <v>3</v>
      </c>
      <c r="DE654" t="s">
        <v>3</v>
      </c>
      <c r="DF654" t="s">
        <v>3</v>
      </c>
      <c r="DG654" t="s">
        <v>3</v>
      </c>
      <c r="DH654" t="s">
        <v>3</v>
      </c>
      <c r="DI654" t="s">
        <v>3</v>
      </c>
      <c r="DJ654" t="s">
        <v>3</v>
      </c>
      <c r="DK654" t="s">
        <v>3</v>
      </c>
      <c r="DL654" t="s">
        <v>3</v>
      </c>
      <c r="DM654" t="s">
        <v>3</v>
      </c>
      <c r="DN654">
        <v>0</v>
      </c>
      <c r="DO654">
        <v>0</v>
      </c>
      <c r="DP654">
        <v>1</v>
      </c>
      <c r="DQ654">
        <v>1</v>
      </c>
      <c r="DU654">
        <v>16987630</v>
      </c>
      <c r="DV654" t="s">
        <v>36</v>
      </c>
      <c r="DW654" t="s">
        <v>36</v>
      </c>
      <c r="DX654">
        <v>1</v>
      </c>
      <c r="DZ654" t="s">
        <v>3</v>
      </c>
      <c r="EA654" t="s">
        <v>3</v>
      </c>
      <c r="EB654" t="s">
        <v>3</v>
      </c>
      <c r="EC654" t="s">
        <v>3</v>
      </c>
      <c r="EE654">
        <v>1441815344</v>
      </c>
      <c r="EF654">
        <v>1</v>
      </c>
      <c r="EG654" t="s">
        <v>21</v>
      </c>
      <c r="EH654">
        <v>0</v>
      </c>
      <c r="EI654" t="s">
        <v>3</v>
      </c>
      <c r="EJ654">
        <v>4</v>
      </c>
      <c r="EK654">
        <v>0</v>
      </c>
      <c r="EL654" t="s">
        <v>22</v>
      </c>
      <c r="EM654" t="s">
        <v>23</v>
      </c>
      <c r="EO654" t="s">
        <v>3</v>
      </c>
      <c r="EQ654">
        <v>0</v>
      </c>
      <c r="ER654">
        <v>938.62</v>
      </c>
      <c r="ES654">
        <v>12.39</v>
      </c>
      <c r="ET654">
        <v>0</v>
      </c>
      <c r="EU654">
        <v>0</v>
      </c>
      <c r="EV654">
        <v>926.23</v>
      </c>
      <c r="EW654">
        <v>1.5</v>
      </c>
      <c r="EX654">
        <v>0</v>
      </c>
      <c r="EY654">
        <v>0</v>
      </c>
      <c r="FQ654">
        <v>0</v>
      </c>
      <c r="FR654">
        <f t="shared" si="596"/>
        <v>0</v>
      </c>
      <c r="FS654">
        <v>0</v>
      </c>
      <c r="FX654">
        <v>70</v>
      </c>
      <c r="FY654">
        <v>10</v>
      </c>
      <c r="GA654" t="s">
        <v>3</v>
      </c>
      <c r="GD654">
        <v>0</v>
      </c>
      <c r="GF654">
        <v>144836529</v>
      </c>
      <c r="GG654">
        <v>2</v>
      </c>
      <c r="GH654">
        <v>1</v>
      </c>
      <c r="GI654">
        <v>-2</v>
      </c>
      <c r="GJ654">
        <v>0</v>
      </c>
      <c r="GK654">
        <f>ROUND(R654*(R12)/100,2)</f>
        <v>0</v>
      </c>
      <c r="GL654">
        <f t="shared" si="597"/>
        <v>0</v>
      </c>
      <c r="GM654">
        <f t="shared" si="598"/>
        <v>16796.04</v>
      </c>
      <c r="GN654">
        <f t="shared" si="599"/>
        <v>0</v>
      </c>
      <c r="GO654">
        <f t="shared" si="600"/>
        <v>0</v>
      </c>
      <c r="GP654">
        <f t="shared" si="601"/>
        <v>16796.04</v>
      </c>
      <c r="GR654">
        <v>0</v>
      </c>
      <c r="GS654">
        <v>3</v>
      </c>
      <c r="GT654">
        <v>0</v>
      </c>
      <c r="GU654" t="s">
        <v>3</v>
      </c>
      <c r="GV654">
        <f t="shared" si="602"/>
        <v>0</v>
      </c>
      <c r="GW654">
        <v>1</v>
      </c>
      <c r="GX654">
        <f t="shared" si="603"/>
        <v>0</v>
      </c>
      <c r="HA654">
        <v>0</v>
      </c>
      <c r="HB654">
        <v>0</v>
      </c>
      <c r="HC654">
        <f t="shared" si="604"/>
        <v>0</v>
      </c>
      <c r="HE654" t="s">
        <v>3</v>
      </c>
      <c r="HF654" t="s">
        <v>3</v>
      </c>
      <c r="HM654" t="s">
        <v>3</v>
      </c>
      <c r="HN654" t="s">
        <v>3</v>
      </c>
      <c r="HO654" t="s">
        <v>3</v>
      </c>
      <c r="HP654" t="s">
        <v>3</v>
      </c>
      <c r="HQ654" t="s">
        <v>3</v>
      </c>
      <c r="IK654">
        <v>0</v>
      </c>
    </row>
    <row r="655" spans="1:245" x14ac:dyDescent="0.2">
      <c r="A655">
        <v>17</v>
      </c>
      <c r="B655">
        <v>1</v>
      </c>
      <c r="D655">
        <f>ROW(EtalonRes!A363)</f>
        <v>363</v>
      </c>
      <c r="E655" t="s">
        <v>376</v>
      </c>
      <c r="F655" t="s">
        <v>213</v>
      </c>
      <c r="G655" t="s">
        <v>327</v>
      </c>
      <c r="H655" t="s">
        <v>36</v>
      </c>
      <c r="I655">
        <f>ROUND(1*10,9)</f>
        <v>10</v>
      </c>
      <c r="J655">
        <v>0</v>
      </c>
      <c r="K655">
        <f>ROUND(1*10,9)</f>
        <v>10</v>
      </c>
      <c r="O655">
        <f t="shared" si="572"/>
        <v>4348.6000000000004</v>
      </c>
      <c r="P655">
        <f t="shared" si="573"/>
        <v>90.6</v>
      </c>
      <c r="Q655">
        <f t="shared" si="574"/>
        <v>0</v>
      </c>
      <c r="R655">
        <f t="shared" si="575"/>
        <v>0</v>
      </c>
      <c r="S655">
        <f t="shared" si="576"/>
        <v>4258</v>
      </c>
      <c r="T655">
        <f t="shared" si="577"/>
        <v>0</v>
      </c>
      <c r="U655">
        <f t="shared" si="578"/>
        <v>6</v>
      </c>
      <c r="V655">
        <f t="shared" si="579"/>
        <v>0</v>
      </c>
      <c r="W655">
        <f t="shared" si="580"/>
        <v>0</v>
      </c>
      <c r="X655">
        <f t="shared" si="581"/>
        <v>2980.6</v>
      </c>
      <c r="Y655">
        <f t="shared" si="582"/>
        <v>425.8</v>
      </c>
      <c r="AA655">
        <v>1471718271</v>
      </c>
      <c r="AB655">
        <f t="shared" si="583"/>
        <v>434.86</v>
      </c>
      <c r="AC655">
        <f>ROUND(((ES655*2)),6)</f>
        <v>9.06</v>
      </c>
      <c r="AD655">
        <f>ROUND(((((ET655*2))-((EU655*2)))+AE655),6)</f>
        <v>0</v>
      </c>
      <c r="AE655">
        <f>ROUND(((EU655*2)),6)</f>
        <v>0</v>
      </c>
      <c r="AF655">
        <f>ROUND(((EV655*2)),6)</f>
        <v>425.8</v>
      </c>
      <c r="AG655">
        <f t="shared" si="584"/>
        <v>0</v>
      </c>
      <c r="AH655">
        <f>((EW655*2))</f>
        <v>0.6</v>
      </c>
      <c r="AI655">
        <f>((EX655*2))</f>
        <v>0</v>
      </c>
      <c r="AJ655">
        <f t="shared" si="585"/>
        <v>0</v>
      </c>
      <c r="AK655">
        <v>217.43</v>
      </c>
      <c r="AL655">
        <v>4.53</v>
      </c>
      <c r="AM655">
        <v>0</v>
      </c>
      <c r="AN655">
        <v>0</v>
      </c>
      <c r="AO655">
        <v>212.9</v>
      </c>
      <c r="AP655">
        <v>0</v>
      </c>
      <c r="AQ655">
        <v>0.3</v>
      </c>
      <c r="AR655">
        <v>0</v>
      </c>
      <c r="AS655">
        <v>0</v>
      </c>
      <c r="AT655">
        <v>70</v>
      </c>
      <c r="AU655">
        <v>10</v>
      </c>
      <c r="AV655">
        <v>1</v>
      </c>
      <c r="AW655">
        <v>1</v>
      </c>
      <c r="AZ655">
        <v>1</v>
      </c>
      <c r="BA655">
        <v>1</v>
      </c>
      <c r="BB655">
        <v>1</v>
      </c>
      <c r="BC655">
        <v>1</v>
      </c>
      <c r="BD655" t="s">
        <v>3</v>
      </c>
      <c r="BE655" t="s">
        <v>3</v>
      </c>
      <c r="BF655" t="s">
        <v>3</v>
      </c>
      <c r="BG655" t="s">
        <v>3</v>
      </c>
      <c r="BH655">
        <v>0</v>
      </c>
      <c r="BI655">
        <v>4</v>
      </c>
      <c r="BJ655" t="s">
        <v>215</v>
      </c>
      <c r="BM655">
        <v>0</v>
      </c>
      <c r="BN655">
        <v>0</v>
      </c>
      <c r="BO655" t="s">
        <v>3</v>
      </c>
      <c r="BP655">
        <v>0</v>
      </c>
      <c r="BQ655">
        <v>1</v>
      </c>
      <c r="BR655">
        <v>0</v>
      </c>
      <c r="BS655">
        <v>1</v>
      </c>
      <c r="BT655">
        <v>1</v>
      </c>
      <c r="BU655">
        <v>1</v>
      </c>
      <c r="BV655">
        <v>1</v>
      </c>
      <c r="BW655">
        <v>1</v>
      </c>
      <c r="BX655">
        <v>1</v>
      </c>
      <c r="BY655" t="s">
        <v>3</v>
      </c>
      <c r="BZ655">
        <v>70</v>
      </c>
      <c r="CA655">
        <v>10</v>
      </c>
      <c r="CB655" t="s">
        <v>3</v>
      </c>
      <c r="CE655">
        <v>0</v>
      </c>
      <c r="CF655">
        <v>0</v>
      </c>
      <c r="CG655">
        <v>0</v>
      </c>
      <c r="CM655">
        <v>0</v>
      </c>
      <c r="CN655" t="s">
        <v>3</v>
      </c>
      <c r="CO655">
        <v>0</v>
      </c>
      <c r="CP655">
        <f t="shared" si="586"/>
        <v>4348.6000000000004</v>
      </c>
      <c r="CQ655">
        <f t="shared" si="587"/>
        <v>9.06</v>
      </c>
      <c r="CR655">
        <f>(((((ET655*2))*BB655-((EU655*2))*BS655)+AE655*BS655)*AV655)</f>
        <v>0</v>
      </c>
      <c r="CS655">
        <f t="shared" si="588"/>
        <v>0</v>
      </c>
      <c r="CT655">
        <f t="shared" si="589"/>
        <v>425.8</v>
      </c>
      <c r="CU655">
        <f t="shared" si="590"/>
        <v>0</v>
      </c>
      <c r="CV655">
        <f t="shared" si="591"/>
        <v>0.6</v>
      </c>
      <c r="CW655">
        <f t="shared" si="592"/>
        <v>0</v>
      </c>
      <c r="CX655">
        <f t="shared" si="593"/>
        <v>0</v>
      </c>
      <c r="CY655">
        <f t="shared" si="594"/>
        <v>2980.6</v>
      </c>
      <c r="CZ655">
        <f t="shared" si="595"/>
        <v>425.8</v>
      </c>
      <c r="DC655" t="s">
        <v>3</v>
      </c>
      <c r="DD655" t="s">
        <v>42</v>
      </c>
      <c r="DE655" t="s">
        <v>42</v>
      </c>
      <c r="DF655" t="s">
        <v>42</v>
      </c>
      <c r="DG655" t="s">
        <v>42</v>
      </c>
      <c r="DH655" t="s">
        <v>3</v>
      </c>
      <c r="DI655" t="s">
        <v>42</v>
      </c>
      <c r="DJ655" t="s">
        <v>42</v>
      </c>
      <c r="DK655" t="s">
        <v>3</v>
      </c>
      <c r="DL655" t="s">
        <v>3</v>
      </c>
      <c r="DM655" t="s">
        <v>3</v>
      </c>
      <c r="DN655">
        <v>0</v>
      </c>
      <c r="DO655">
        <v>0</v>
      </c>
      <c r="DP655">
        <v>1</v>
      </c>
      <c r="DQ655">
        <v>1</v>
      </c>
      <c r="DU655">
        <v>16987630</v>
      </c>
      <c r="DV655" t="s">
        <v>36</v>
      </c>
      <c r="DW655" t="s">
        <v>36</v>
      </c>
      <c r="DX655">
        <v>1</v>
      </c>
      <c r="DZ655" t="s">
        <v>3</v>
      </c>
      <c r="EA655" t="s">
        <v>3</v>
      </c>
      <c r="EB655" t="s">
        <v>3</v>
      </c>
      <c r="EC655" t="s">
        <v>3</v>
      </c>
      <c r="EE655">
        <v>1441815344</v>
      </c>
      <c r="EF655">
        <v>1</v>
      </c>
      <c r="EG655" t="s">
        <v>21</v>
      </c>
      <c r="EH655">
        <v>0</v>
      </c>
      <c r="EI655" t="s">
        <v>3</v>
      </c>
      <c r="EJ655">
        <v>4</v>
      </c>
      <c r="EK655">
        <v>0</v>
      </c>
      <c r="EL655" t="s">
        <v>22</v>
      </c>
      <c r="EM655" t="s">
        <v>23</v>
      </c>
      <c r="EO655" t="s">
        <v>3</v>
      </c>
      <c r="EQ655">
        <v>0</v>
      </c>
      <c r="ER655">
        <v>217.43</v>
      </c>
      <c r="ES655">
        <v>4.53</v>
      </c>
      <c r="ET655">
        <v>0</v>
      </c>
      <c r="EU655">
        <v>0</v>
      </c>
      <c r="EV655">
        <v>212.9</v>
      </c>
      <c r="EW655">
        <v>0.3</v>
      </c>
      <c r="EX655">
        <v>0</v>
      </c>
      <c r="EY655">
        <v>0</v>
      </c>
      <c r="FQ655">
        <v>0</v>
      </c>
      <c r="FR655">
        <f t="shared" si="596"/>
        <v>0</v>
      </c>
      <c r="FS655">
        <v>0</v>
      </c>
      <c r="FX655">
        <v>70</v>
      </c>
      <c r="FY655">
        <v>10</v>
      </c>
      <c r="GA655" t="s">
        <v>3</v>
      </c>
      <c r="GD655">
        <v>0</v>
      </c>
      <c r="GF655">
        <v>1448824636</v>
      </c>
      <c r="GG655">
        <v>2</v>
      </c>
      <c r="GH655">
        <v>1</v>
      </c>
      <c r="GI655">
        <v>-2</v>
      </c>
      <c r="GJ655">
        <v>0</v>
      </c>
      <c r="GK655">
        <f>ROUND(R655*(R12)/100,2)</f>
        <v>0</v>
      </c>
      <c r="GL655">
        <f t="shared" si="597"/>
        <v>0</v>
      </c>
      <c r="GM655">
        <f t="shared" si="598"/>
        <v>7755</v>
      </c>
      <c r="GN655">
        <f t="shared" si="599"/>
        <v>0</v>
      </c>
      <c r="GO655">
        <f t="shared" si="600"/>
        <v>0</v>
      </c>
      <c r="GP655">
        <f t="shared" si="601"/>
        <v>7755</v>
      </c>
      <c r="GR655">
        <v>0</v>
      </c>
      <c r="GS655">
        <v>3</v>
      </c>
      <c r="GT655">
        <v>0</v>
      </c>
      <c r="GU655" t="s">
        <v>3</v>
      </c>
      <c r="GV655">
        <f t="shared" si="602"/>
        <v>0</v>
      </c>
      <c r="GW655">
        <v>1</v>
      </c>
      <c r="GX655">
        <f t="shared" si="603"/>
        <v>0</v>
      </c>
      <c r="HA655">
        <v>0</v>
      </c>
      <c r="HB655">
        <v>0</v>
      </c>
      <c r="HC655">
        <f t="shared" si="604"/>
        <v>0</v>
      </c>
      <c r="HE655" t="s">
        <v>3</v>
      </c>
      <c r="HF655" t="s">
        <v>3</v>
      </c>
      <c r="HM655" t="s">
        <v>3</v>
      </c>
      <c r="HN655" t="s">
        <v>3</v>
      </c>
      <c r="HO655" t="s">
        <v>3</v>
      </c>
      <c r="HP655" t="s">
        <v>3</v>
      </c>
      <c r="HQ655" t="s">
        <v>3</v>
      </c>
      <c r="IK655">
        <v>0</v>
      </c>
    </row>
    <row r="656" spans="1:245" x14ac:dyDescent="0.2">
      <c r="A656">
        <v>17</v>
      </c>
      <c r="B656">
        <v>1</v>
      </c>
      <c r="D656">
        <f>ROW(EtalonRes!A365)</f>
        <v>365</v>
      </c>
      <c r="E656" t="s">
        <v>3</v>
      </c>
      <c r="F656" t="s">
        <v>216</v>
      </c>
      <c r="G656" t="s">
        <v>328</v>
      </c>
      <c r="H656" t="s">
        <v>36</v>
      </c>
      <c r="I656">
        <f>ROUND(8*10,9)</f>
        <v>80</v>
      </c>
      <c r="J656">
        <v>0</v>
      </c>
      <c r="K656">
        <f>ROUND(8*10,9)</f>
        <v>80</v>
      </c>
      <c r="O656">
        <f t="shared" si="572"/>
        <v>5930.4</v>
      </c>
      <c r="P656">
        <f t="shared" si="573"/>
        <v>2.4</v>
      </c>
      <c r="Q656">
        <f t="shared" si="574"/>
        <v>0</v>
      </c>
      <c r="R656">
        <f t="shared" si="575"/>
        <v>0</v>
      </c>
      <c r="S656">
        <f t="shared" si="576"/>
        <v>5928</v>
      </c>
      <c r="T656">
        <f t="shared" si="577"/>
        <v>0</v>
      </c>
      <c r="U656">
        <f t="shared" si="578"/>
        <v>9.6</v>
      </c>
      <c r="V656">
        <f t="shared" si="579"/>
        <v>0</v>
      </c>
      <c r="W656">
        <f t="shared" si="580"/>
        <v>0</v>
      </c>
      <c r="X656">
        <f t="shared" si="581"/>
        <v>4149.6000000000004</v>
      </c>
      <c r="Y656">
        <f t="shared" si="582"/>
        <v>592.79999999999995</v>
      </c>
      <c r="AA656">
        <v>-1</v>
      </c>
      <c r="AB656">
        <f t="shared" si="583"/>
        <v>74.13</v>
      </c>
      <c r="AC656">
        <f>ROUND(((ES656*3)),6)</f>
        <v>0.03</v>
      </c>
      <c r="AD656">
        <f>ROUND(((((ET656*3))-((EU656*3)))+AE656),6)</f>
        <v>0</v>
      </c>
      <c r="AE656">
        <f>ROUND(((EU656*3)),6)</f>
        <v>0</v>
      </c>
      <c r="AF656">
        <f>ROUND(((EV656*3)),6)</f>
        <v>74.099999999999994</v>
      </c>
      <c r="AG656">
        <f t="shared" si="584"/>
        <v>0</v>
      </c>
      <c r="AH656">
        <f>((EW656*3))</f>
        <v>0.12</v>
      </c>
      <c r="AI656">
        <f>((EX656*3))</f>
        <v>0</v>
      </c>
      <c r="AJ656">
        <f t="shared" si="585"/>
        <v>0</v>
      </c>
      <c r="AK656">
        <v>24.71</v>
      </c>
      <c r="AL656">
        <v>0.01</v>
      </c>
      <c r="AM656">
        <v>0</v>
      </c>
      <c r="AN656">
        <v>0</v>
      </c>
      <c r="AO656">
        <v>24.7</v>
      </c>
      <c r="AP656">
        <v>0</v>
      </c>
      <c r="AQ656">
        <v>0.04</v>
      </c>
      <c r="AR656">
        <v>0</v>
      </c>
      <c r="AS656">
        <v>0</v>
      </c>
      <c r="AT656">
        <v>70</v>
      </c>
      <c r="AU656">
        <v>10</v>
      </c>
      <c r="AV656">
        <v>1</v>
      </c>
      <c r="AW656">
        <v>1</v>
      </c>
      <c r="AZ656">
        <v>1</v>
      </c>
      <c r="BA656">
        <v>1</v>
      </c>
      <c r="BB656">
        <v>1</v>
      </c>
      <c r="BC656">
        <v>1</v>
      </c>
      <c r="BD656" t="s">
        <v>3</v>
      </c>
      <c r="BE656" t="s">
        <v>3</v>
      </c>
      <c r="BF656" t="s">
        <v>3</v>
      </c>
      <c r="BG656" t="s">
        <v>3</v>
      </c>
      <c r="BH656">
        <v>0</v>
      </c>
      <c r="BI656">
        <v>4</v>
      </c>
      <c r="BJ656" t="s">
        <v>218</v>
      </c>
      <c r="BM656">
        <v>0</v>
      </c>
      <c r="BN656">
        <v>0</v>
      </c>
      <c r="BO656" t="s">
        <v>3</v>
      </c>
      <c r="BP656">
        <v>0</v>
      </c>
      <c r="BQ656">
        <v>1</v>
      </c>
      <c r="BR656">
        <v>0</v>
      </c>
      <c r="BS656">
        <v>1</v>
      </c>
      <c r="BT656">
        <v>1</v>
      </c>
      <c r="BU656">
        <v>1</v>
      </c>
      <c r="BV656">
        <v>1</v>
      </c>
      <c r="BW656">
        <v>1</v>
      </c>
      <c r="BX656">
        <v>1</v>
      </c>
      <c r="BY656" t="s">
        <v>3</v>
      </c>
      <c r="BZ656">
        <v>70</v>
      </c>
      <c r="CA656">
        <v>10</v>
      </c>
      <c r="CB656" t="s">
        <v>3</v>
      </c>
      <c r="CE656">
        <v>0</v>
      </c>
      <c r="CF656">
        <v>0</v>
      </c>
      <c r="CG656">
        <v>0</v>
      </c>
      <c r="CM656">
        <v>0</v>
      </c>
      <c r="CN656" t="s">
        <v>3</v>
      </c>
      <c r="CO656">
        <v>0</v>
      </c>
      <c r="CP656">
        <f t="shared" si="586"/>
        <v>5930.4</v>
      </c>
      <c r="CQ656">
        <f t="shared" si="587"/>
        <v>0.03</v>
      </c>
      <c r="CR656">
        <f>(((((ET656*3))*BB656-((EU656*3))*BS656)+AE656*BS656)*AV656)</f>
        <v>0</v>
      </c>
      <c r="CS656">
        <f t="shared" si="588"/>
        <v>0</v>
      </c>
      <c r="CT656">
        <f t="shared" si="589"/>
        <v>74.099999999999994</v>
      </c>
      <c r="CU656">
        <f t="shared" si="590"/>
        <v>0</v>
      </c>
      <c r="CV656">
        <f t="shared" si="591"/>
        <v>0.12</v>
      </c>
      <c r="CW656">
        <f t="shared" si="592"/>
        <v>0</v>
      </c>
      <c r="CX656">
        <f t="shared" si="593"/>
        <v>0</v>
      </c>
      <c r="CY656">
        <f t="shared" si="594"/>
        <v>4149.6000000000004</v>
      </c>
      <c r="CZ656">
        <f t="shared" si="595"/>
        <v>592.79999999999995</v>
      </c>
      <c r="DC656" t="s">
        <v>3</v>
      </c>
      <c r="DD656" t="s">
        <v>163</v>
      </c>
      <c r="DE656" t="s">
        <v>163</v>
      </c>
      <c r="DF656" t="s">
        <v>163</v>
      </c>
      <c r="DG656" t="s">
        <v>163</v>
      </c>
      <c r="DH656" t="s">
        <v>3</v>
      </c>
      <c r="DI656" t="s">
        <v>163</v>
      </c>
      <c r="DJ656" t="s">
        <v>163</v>
      </c>
      <c r="DK656" t="s">
        <v>3</v>
      </c>
      <c r="DL656" t="s">
        <v>3</v>
      </c>
      <c r="DM656" t="s">
        <v>3</v>
      </c>
      <c r="DN656">
        <v>0</v>
      </c>
      <c r="DO656">
        <v>0</v>
      </c>
      <c r="DP656">
        <v>1</v>
      </c>
      <c r="DQ656">
        <v>1</v>
      </c>
      <c r="DU656">
        <v>16987630</v>
      </c>
      <c r="DV656" t="s">
        <v>36</v>
      </c>
      <c r="DW656" t="s">
        <v>36</v>
      </c>
      <c r="DX656">
        <v>1</v>
      </c>
      <c r="DZ656" t="s">
        <v>3</v>
      </c>
      <c r="EA656" t="s">
        <v>3</v>
      </c>
      <c r="EB656" t="s">
        <v>3</v>
      </c>
      <c r="EC656" t="s">
        <v>3</v>
      </c>
      <c r="EE656">
        <v>1441815344</v>
      </c>
      <c r="EF656">
        <v>1</v>
      </c>
      <c r="EG656" t="s">
        <v>21</v>
      </c>
      <c r="EH656">
        <v>0</v>
      </c>
      <c r="EI656" t="s">
        <v>3</v>
      </c>
      <c r="EJ656">
        <v>4</v>
      </c>
      <c r="EK656">
        <v>0</v>
      </c>
      <c r="EL656" t="s">
        <v>22</v>
      </c>
      <c r="EM656" t="s">
        <v>23</v>
      </c>
      <c r="EO656" t="s">
        <v>3</v>
      </c>
      <c r="EQ656">
        <v>1024</v>
      </c>
      <c r="ER656">
        <v>24.71</v>
      </c>
      <c r="ES656">
        <v>0.01</v>
      </c>
      <c r="ET656">
        <v>0</v>
      </c>
      <c r="EU656">
        <v>0</v>
      </c>
      <c r="EV656">
        <v>24.7</v>
      </c>
      <c r="EW656">
        <v>0.04</v>
      </c>
      <c r="EX656">
        <v>0</v>
      </c>
      <c r="EY656">
        <v>0</v>
      </c>
      <c r="FQ656">
        <v>0</v>
      </c>
      <c r="FR656">
        <f t="shared" si="596"/>
        <v>0</v>
      </c>
      <c r="FS656">
        <v>0</v>
      </c>
      <c r="FX656">
        <v>70</v>
      </c>
      <c r="FY656">
        <v>10</v>
      </c>
      <c r="GA656" t="s">
        <v>3</v>
      </c>
      <c r="GD656">
        <v>0</v>
      </c>
      <c r="GF656">
        <v>2079911705</v>
      </c>
      <c r="GG656">
        <v>2</v>
      </c>
      <c r="GH656">
        <v>1</v>
      </c>
      <c r="GI656">
        <v>-2</v>
      </c>
      <c r="GJ656">
        <v>0</v>
      </c>
      <c r="GK656">
        <f>ROUND(R656*(R12)/100,2)</f>
        <v>0</v>
      </c>
      <c r="GL656">
        <f t="shared" si="597"/>
        <v>0</v>
      </c>
      <c r="GM656">
        <f t="shared" si="598"/>
        <v>10672.8</v>
      </c>
      <c r="GN656">
        <f t="shared" si="599"/>
        <v>0</v>
      </c>
      <c r="GO656">
        <f t="shared" si="600"/>
        <v>0</v>
      </c>
      <c r="GP656">
        <f t="shared" si="601"/>
        <v>10672.8</v>
      </c>
      <c r="GR656">
        <v>0</v>
      </c>
      <c r="GS656">
        <v>3</v>
      </c>
      <c r="GT656">
        <v>0</v>
      </c>
      <c r="GU656" t="s">
        <v>3</v>
      </c>
      <c r="GV656">
        <f t="shared" si="602"/>
        <v>0</v>
      </c>
      <c r="GW656">
        <v>1</v>
      </c>
      <c r="GX656">
        <f t="shared" si="603"/>
        <v>0</v>
      </c>
      <c r="HA656">
        <v>0</v>
      </c>
      <c r="HB656">
        <v>0</v>
      </c>
      <c r="HC656">
        <f t="shared" si="604"/>
        <v>0</v>
      </c>
      <c r="HE656" t="s">
        <v>3</v>
      </c>
      <c r="HF656" t="s">
        <v>3</v>
      </c>
      <c r="HM656" t="s">
        <v>3</v>
      </c>
      <c r="HN656" t="s">
        <v>3</v>
      </c>
      <c r="HO656" t="s">
        <v>3</v>
      </c>
      <c r="HP656" t="s">
        <v>3</v>
      </c>
      <c r="HQ656" t="s">
        <v>3</v>
      </c>
      <c r="IK656">
        <v>0</v>
      </c>
    </row>
    <row r="657" spans="1:245" x14ac:dyDescent="0.2">
      <c r="A657">
        <v>17</v>
      </c>
      <c r="B657">
        <v>1</v>
      </c>
      <c r="D657">
        <f>ROW(EtalonRes!A368)</f>
        <v>368</v>
      </c>
      <c r="E657" t="s">
        <v>377</v>
      </c>
      <c r="F657" t="s">
        <v>220</v>
      </c>
      <c r="G657" t="s">
        <v>330</v>
      </c>
      <c r="H657" t="s">
        <v>36</v>
      </c>
      <c r="I657">
        <f>ROUND(8*10,9)</f>
        <v>80</v>
      </c>
      <c r="J657">
        <v>0</v>
      </c>
      <c r="K657">
        <f>ROUND(8*10,9)</f>
        <v>80</v>
      </c>
      <c r="O657">
        <f t="shared" si="572"/>
        <v>59415.199999999997</v>
      </c>
      <c r="P657">
        <f t="shared" si="573"/>
        <v>136</v>
      </c>
      <c r="Q657">
        <f t="shared" si="574"/>
        <v>0</v>
      </c>
      <c r="R657">
        <f t="shared" si="575"/>
        <v>0</v>
      </c>
      <c r="S657">
        <f t="shared" si="576"/>
        <v>59279.199999999997</v>
      </c>
      <c r="T657">
        <f t="shared" si="577"/>
        <v>0</v>
      </c>
      <c r="U657">
        <f t="shared" si="578"/>
        <v>96</v>
      </c>
      <c r="V657">
        <f t="shared" si="579"/>
        <v>0</v>
      </c>
      <c r="W657">
        <f t="shared" si="580"/>
        <v>0</v>
      </c>
      <c r="X657">
        <f t="shared" si="581"/>
        <v>41495.440000000002</v>
      </c>
      <c r="Y657">
        <f t="shared" si="582"/>
        <v>5927.92</v>
      </c>
      <c r="AA657">
        <v>1471718271</v>
      </c>
      <c r="AB657">
        <f t="shared" si="583"/>
        <v>742.69</v>
      </c>
      <c r="AC657">
        <f>ROUND((ES657),6)</f>
        <v>1.7</v>
      </c>
      <c r="AD657">
        <f>ROUND((((ET657)-(EU657))+AE657),6)</f>
        <v>0</v>
      </c>
      <c r="AE657">
        <f>ROUND((EU657),6)</f>
        <v>0</v>
      </c>
      <c r="AF657">
        <f>ROUND((EV657),6)</f>
        <v>740.99</v>
      </c>
      <c r="AG657">
        <f t="shared" si="584"/>
        <v>0</v>
      </c>
      <c r="AH657">
        <f>(EW657)</f>
        <v>1.2</v>
      </c>
      <c r="AI657">
        <f>(EX657)</f>
        <v>0</v>
      </c>
      <c r="AJ657">
        <f t="shared" si="585"/>
        <v>0</v>
      </c>
      <c r="AK657">
        <v>742.69</v>
      </c>
      <c r="AL657">
        <v>1.7</v>
      </c>
      <c r="AM657">
        <v>0</v>
      </c>
      <c r="AN657">
        <v>0</v>
      </c>
      <c r="AO657">
        <v>740.99</v>
      </c>
      <c r="AP657">
        <v>0</v>
      </c>
      <c r="AQ657">
        <v>1.2</v>
      </c>
      <c r="AR657">
        <v>0</v>
      </c>
      <c r="AS657">
        <v>0</v>
      </c>
      <c r="AT657">
        <v>70</v>
      </c>
      <c r="AU657">
        <v>10</v>
      </c>
      <c r="AV657">
        <v>1</v>
      </c>
      <c r="AW657">
        <v>1</v>
      </c>
      <c r="AZ657">
        <v>1</v>
      </c>
      <c r="BA657">
        <v>1</v>
      </c>
      <c r="BB657">
        <v>1</v>
      </c>
      <c r="BC657">
        <v>1</v>
      </c>
      <c r="BD657" t="s">
        <v>3</v>
      </c>
      <c r="BE657" t="s">
        <v>3</v>
      </c>
      <c r="BF657" t="s">
        <v>3</v>
      </c>
      <c r="BG657" t="s">
        <v>3</v>
      </c>
      <c r="BH657">
        <v>0</v>
      </c>
      <c r="BI657">
        <v>4</v>
      </c>
      <c r="BJ657" t="s">
        <v>222</v>
      </c>
      <c r="BM657">
        <v>0</v>
      </c>
      <c r="BN657">
        <v>0</v>
      </c>
      <c r="BO657" t="s">
        <v>3</v>
      </c>
      <c r="BP657">
        <v>0</v>
      </c>
      <c r="BQ657">
        <v>1</v>
      </c>
      <c r="BR657">
        <v>0</v>
      </c>
      <c r="BS657">
        <v>1</v>
      </c>
      <c r="BT657">
        <v>1</v>
      </c>
      <c r="BU657">
        <v>1</v>
      </c>
      <c r="BV657">
        <v>1</v>
      </c>
      <c r="BW657">
        <v>1</v>
      </c>
      <c r="BX657">
        <v>1</v>
      </c>
      <c r="BY657" t="s">
        <v>3</v>
      </c>
      <c r="BZ657">
        <v>70</v>
      </c>
      <c r="CA657">
        <v>10</v>
      </c>
      <c r="CB657" t="s">
        <v>3</v>
      </c>
      <c r="CE657">
        <v>0</v>
      </c>
      <c r="CF657">
        <v>0</v>
      </c>
      <c r="CG657">
        <v>0</v>
      </c>
      <c r="CM657">
        <v>0</v>
      </c>
      <c r="CN657" t="s">
        <v>3</v>
      </c>
      <c r="CO657">
        <v>0</v>
      </c>
      <c r="CP657">
        <f t="shared" si="586"/>
        <v>59415.199999999997</v>
      </c>
      <c r="CQ657">
        <f t="shared" si="587"/>
        <v>1.7</v>
      </c>
      <c r="CR657">
        <f>((((ET657)*BB657-(EU657)*BS657)+AE657*BS657)*AV657)</f>
        <v>0</v>
      </c>
      <c r="CS657">
        <f t="shared" si="588"/>
        <v>0</v>
      </c>
      <c r="CT657">
        <f t="shared" si="589"/>
        <v>740.99</v>
      </c>
      <c r="CU657">
        <f t="shared" si="590"/>
        <v>0</v>
      </c>
      <c r="CV657">
        <f t="shared" si="591"/>
        <v>1.2</v>
      </c>
      <c r="CW657">
        <f t="shared" si="592"/>
        <v>0</v>
      </c>
      <c r="CX657">
        <f t="shared" si="593"/>
        <v>0</v>
      </c>
      <c r="CY657">
        <f t="shared" si="594"/>
        <v>41495.440000000002</v>
      </c>
      <c r="CZ657">
        <f t="shared" si="595"/>
        <v>5927.92</v>
      </c>
      <c r="DC657" t="s">
        <v>3</v>
      </c>
      <c r="DD657" t="s">
        <v>3</v>
      </c>
      <c r="DE657" t="s">
        <v>3</v>
      </c>
      <c r="DF657" t="s">
        <v>3</v>
      </c>
      <c r="DG657" t="s">
        <v>3</v>
      </c>
      <c r="DH657" t="s">
        <v>3</v>
      </c>
      <c r="DI657" t="s">
        <v>3</v>
      </c>
      <c r="DJ657" t="s">
        <v>3</v>
      </c>
      <c r="DK657" t="s">
        <v>3</v>
      </c>
      <c r="DL657" t="s">
        <v>3</v>
      </c>
      <c r="DM657" t="s">
        <v>3</v>
      </c>
      <c r="DN657">
        <v>0</v>
      </c>
      <c r="DO657">
        <v>0</v>
      </c>
      <c r="DP657">
        <v>1</v>
      </c>
      <c r="DQ657">
        <v>1</v>
      </c>
      <c r="DU657">
        <v>16987630</v>
      </c>
      <c r="DV657" t="s">
        <v>36</v>
      </c>
      <c r="DW657" t="s">
        <v>36</v>
      </c>
      <c r="DX657">
        <v>1</v>
      </c>
      <c r="DZ657" t="s">
        <v>3</v>
      </c>
      <c r="EA657" t="s">
        <v>3</v>
      </c>
      <c r="EB657" t="s">
        <v>3</v>
      </c>
      <c r="EC657" t="s">
        <v>3</v>
      </c>
      <c r="EE657">
        <v>1441815344</v>
      </c>
      <c r="EF657">
        <v>1</v>
      </c>
      <c r="EG657" t="s">
        <v>21</v>
      </c>
      <c r="EH657">
        <v>0</v>
      </c>
      <c r="EI657" t="s">
        <v>3</v>
      </c>
      <c r="EJ657">
        <v>4</v>
      </c>
      <c r="EK657">
        <v>0</v>
      </c>
      <c r="EL657" t="s">
        <v>22</v>
      </c>
      <c r="EM657" t="s">
        <v>23</v>
      </c>
      <c r="EO657" t="s">
        <v>3</v>
      </c>
      <c r="EQ657">
        <v>0</v>
      </c>
      <c r="ER657">
        <v>742.69</v>
      </c>
      <c r="ES657">
        <v>1.7</v>
      </c>
      <c r="ET657">
        <v>0</v>
      </c>
      <c r="EU657">
        <v>0</v>
      </c>
      <c r="EV657">
        <v>740.99</v>
      </c>
      <c r="EW657">
        <v>1.2</v>
      </c>
      <c r="EX657">
        <v>0</v>
      </c>
      <c r="EY657">
        <v>0</v>
      </c>
      <c r="FQ657">
        <v>0</v>
      </c>
      <c r="FR657">
        <f t="shared" si="596"/>
        <v>0</v>
      </c>
      <c r="FS657">
        <v>0</v>
      </c>
      <c r="FX657">
        <v>70</v>
      </c>
      <c r="FY657">
        <v>10</v>
      </c>
      <c r="GA657" t="s">
        <v>3</v>
      </c>
      <c r="GD657">
        <v>0</v>
      </c>
      <c r="GF657">
        <v>-1786166374</v>
      </c>
      <c r="GG657">
        <v>2</v>
      </c>
      <c r="GH657">
        <v>1</v>
      </c>
      <c r="GI657">
        <v>-2</v>
      </c>
      <c r="GJ657">
        <v>0</v>
      </c>
      <c r="GK657">
        <f>ROUND(R657*(R12)/100,2)</f>
        <v>0</v>
      </c>
      <c r="GL657">
        <f t="shared" si="597"/>
        <v>0</v>
      </c>
      <c r="GM657">
        <f t="shared" si="598"/>
        <v>106838.56</v>
      </c>
      <c r="GN657">
        <f t="shared" si="599"/>
        <v>0</v>
      </c>
      <c r="GO657">
        <f t="shared" si="600"/>
        <v>0</v>
      </c>
      <c r="GP657">
        <f t="shared" si="601"/>
        <v>106838.56</v>
      </c>
      <c r="GR657">
        <v>0</v>
      </c>
      <c r="GS657">
        <v>3</v>
      </c>
      <c r="GT657">
        <v>0</v>
      </c>
      <c r="GU657" t="s">
        <v>3</v>
      </c>
      <c r="GV657">
        <f t="shared" si="602"/>
        <v>0</v>
      </c>
      <c r="GW657">
        <v>1</v>
      </c>
      <c r="GX657">
        <f t="shared" si="603"/>
        <v>0</v>
      </c>
      <c r="HA657">
        <v>0</v>
      </c>
      <c r="HB657">
        <v>0</v>
      </c>
      <c r="HC657">
        <f t="shared" si="604"/>
        <v>0</v>
      </c>
      <c r="HE657" t="s">
        <v>3</v>
      </c>
      <c r="HF657" t="s">
        <v>3</v>
      </c>
      <c r="HM657" t="s">
        <v>3</v>
      </c>
      <c r="HN657" t="s">
        <v>3</v>
      </c>
      <c r="HO657" t="s">
        <v>3</v>
      </c>
      <c r="HP657" t="s">
        <v>3</v>
      </c>
      <c r="HQ657" t="s">
        <v>3</v>
      </c>
      <c r="IK657">
        <v>0</v>
      </c>
    </row>
    <row r="658" spans="1:245" x14ac:dyDescent="0.2">
      <c r="A658">
        <v>17</v>
      </c>
      <c r="B658">
        <v>1</v>
      </c>
      <c r="D658">
        <f>ROW(EtalonRes!A370)</f>
        <v>370</v>
      </c>
      <c r="E658" t="s">
        <v>3</v>
      </c>
      <c r="F658" t="s">
        <v>216</v>
      </c>
      <c r="G658" t="s">
        <v>331</v>
      </c>
      <c r="H658" t="s">
        <v>36</v>
      </c>
      <c r="I658">
        <f>ROUND(8*10,9)</f>
        <v>80</v>
      </c>
      <c r="J658">
        <v>0</v>
      </c>
      <c r="K658">
        <f>ROUND(8*10,9)</f>
        <v>80</v>
      </c>
      <c r="O658">
        <f t="shared" si="572"/>
        <v>5930.4</v>
      </c>
      <c r="P658">
        <f t="shared" si="573"/>
        <v>2.4</v>
      </c>
      <c r="Q658">
        <f t="shared" si="574"/>
        <v>0</v>
      </c>
      <c r="R658">
        <f t="shared" si="575"/>
        <v>0</v>
      </c>
      <c r="S658">
        <f t="shared" si="576"/>
        <v>5928</v>
      </c>
      <c r="T658">
        <f t="shared" si="577"/>
        <v>0</v>
      </c>
      <c r="U658">
        <f t="shared" si="578"/>
        <v>9.6</v>
      </c>
      <c r="V658">
        <f t="shared" si="579"/>
        <v>0</v>
      </c>
      <c r="W658">
        <f t="shared" si="580"/>
        <v>0</v>
      </c>
      <c r="X658">
        <f t="shared" si="581"/>
        <v>4149.6000000000004</v>
      </c>
      <c r="Y658">
        <f t="shared" si="582"/>
        <v>592.79999999999995</v>
      </c>
      <c r="AA658">
        <v>-1</v>
      </c>
      <c r="AB658">
        <f t="shared" si="583"/>
        <v>74.13</v>
      </c>
      <c r="AC658">
        <f>ROUND(((ES658*3)),6)</f>
        <v>0.03</v>
      </c>
      <c r="AD658">
        <f>ROUND(((((ET658*3))-((EU658*3)))+AE658),6)</f>
        <v>0</v>
      </c>
      <c r="AE658">
        <f>ROUND(((EU658*3)),6)</f>
        <v>0</v>
      </c>
      <c r="AF658">
        <f>ROUND(((EV658*3)),6)</f>
        <v>74.099999999999994</v>
      </c>
      <c r="AG658">
        <f t="shared" si="584"/>
        <v>0</v>
      </c>
      <c r="AH658">
        <f>((EW658*3))</f>
        <v>0.12</v>
      </c>
      <c r="AI658">
        <f>((EX658*3))</f>
        <v>0</v>
      </c>
      <c r="AJ658">
        <f t="shared" si="585"/>
        <v>0</v>
      </c>
      <c r="AK658">
        <v>24.71</v>
      </c>
      <c r="AL658">
        <v>0.01</v>
      </c>
      <c r="AM658">
        <v>0</v>
      </c>
      <c r="AN658">
        <v>0</v>
      </c>
      <c r="AO658">
        <v>24.7</v>
      </c>
      <c r="AP658">
        <v>0</v>
      </c>
      <c r="AQ658">
        <v>0.04</v>
      </c>
      <c r="AR658">
        <v>0</v>
      </c>
      <c r="AS658">
        <v>0</v>
      </c>
      <c r="AT658">
        <v>70</v>
      </c>
      <c r="AU658">
        <v>10</v>
      </c>
      <c r="AV658">
        <v>1</v>
      </c>
      <c r="AW658">
        <v>1</v>
      </c>
      <c r="AZ658">
        <v>1</v>
      </c>
      <c r="BA658">
        <v>1</v>
      </c>
      <c r="BB658">
        <v>1</v>
      </c>
      <c r="BC658">
        <v>1</v>
      </c>
      <c r="BD658" t="s">
        <v>3</v>
      </c>
      <c r="BE658" t="s">
        <v>3</v>
      </c>
      <c r="BF658" t="s">
        <v>3</v>
      </c>
      <c r="BG658" t="s">
        <v>3</v>
      </c>
      <c r="BH658">
        <v>0</v>
      </c>
      <c r="BI658">
        <v>4</v>
      </c>
      <c r="BJ658" t="s">
        <v>218</v>
      </c>
      <c r="BM658">
        <v>0</v>
      </c>
      <c r="BN658">
        <v>0</v>
      </c>
      <c r="BO658" t="s">
        <v>3</v>
      </c>
      <c r="BP658">
        <v>0</v>
      </c>
      <c r="BQ658">
        <v>1</v>
      </c>
      <c r="BR658">
        <v>0</v>
      </c>
      <c r="BS658">
        <v>1</v>
      </c>
      <c r="BT658">
        <v>1</v>
      </c>
      <c r="BU658">
        <v>1</v>
      </c>
      <c r="BV658">
        <v>1</v>
      </c>
      <c r="BW658">
        <v>1</v>
      </c>
      <c r="BX658">
        <v>1</v>
      </c>
      <c r="BY658" t="s">
        <v>3</v>
      </c>
      <c r="BZ658">
        <v>70</v>
      </c>
      <c r="CA658">
        <v>10</v>
      </c>
      <c r="CB658" t="s">
        <v>3</v>
      </c>
      <c r="CE658">
        <v>0</v>
      </c>
      <c r="CF658">
        <v>0</v>
      </c>
      <c r="CG658">
        <v>0</v>
      </c>
      <c r="CM658">
        <v>0</v>
      </c>
      <c r="CN658" t="s">
        <v>3</v>
      </c>
      <c r="CO658">
        <v>0</v>
      </c>
      <c r="CP658">
        <f t="shared" si="586"/>
        <v>5930.4</v>
      </c>
      <c r="CQ658">
        <f t="shared" si="587"/>
        <v>0.03</v>
      </c>
      <c r="CR658">
        <f>(((((ET658*3))*BB658-((EU658*3))*BS658)+AE658*BS658)*AV658)</f>
        <v>0</v>
      </c>
      <c r="CS658">
        <f t="shared" si="588"/>
        <v>0</v>
      </c>
      <c r="CT658">
        <f t="shared" si="589"/>
        <v>74.099999999999994</v>
      </c>
      <c r="CU658">
        <f t="shared" si="590"/>
        <v>0</v>
      </c>
      <c r="CV658">
        <f t="shared" si="591"/>
        <v>0.12</v>
      </c>
      <c r="CW658">
        <f t="shared" si="592"/>
        <v>0</v>
      </c>
      <c r="CX658">
        <f t="shared" si="593"/>
        <v>0</v>
      </c>
      <c r="CY658">
        <f t="shared" si="594"/>
        <v>4149.6000000000004</v>
      </c>
      <c r="CZ658">
        <f t="shared" si="595"/>
        <v>592.79999999999995</v>
      </c>
      <c r="DC658" t="s">
        <v>3</v>
      </c>
      <c r="DD658" t="s">
        <v>163</v>
      </c>
      <c r="DE658" t="s">
        <v>163</v>
      </c>
      <c r="DF658" t="s">
        <v>163</v>
      </c>
      <c r="DG658" t="s">
        <v>163</v>
      </c>
      <c r="DH658" t="s">
        <v>3</v>
      </c>
      <c r="DI658" t="s">
        <v>163</v>
      </c>
      <c r="DJ658" t="s">
        <v>163</v>
      </c>
      <c r="DK658" t="s">
        <v>3</v>
      </c>
      <c r="DL658" t="s">
        <v>3</v>
      </c>
      <c r="DM658" t="s">
        <v>3</v>
      </c>
      <c r="DN658">
        <v>0</v>
      </c>
      <c r="DO658">
        <v>0</v>
      </c>
      <c r="DP658">
        <v>1</v>
      </c>
      <c r="DQ658">
        <v>1</v>
      </c>
      <c r="DU658">
        <v>16987630</v>
      </c>
      <c r="DV658" t="s">
        <v>36</v>
      </c>
      <c r="DW658" t="s">
        <v>36</v>
      </c>
      <c r="DX658">
        <v>1</v>
      </c>
      <c r="DZ658" t="s">
        <v>3</v>
      </c>
      <c r="EA658" t="s">
        <v>3</v>
      </c>
      <c r="EB658" t="s">
        <v>3</v>
      </c>
      <c r="EC658" t="s">
        <v>3</v>
      </c>
      <c r="EE658">
        <v>1441815344</v>
      </c>
      <c r="EF658">
        <v>1</v>
      </c>
      <c r="EG658" t="s">
        <v>21</v>
      </c>
      <c r="EH658">
        <v>0</v>
      </c>
      <c r="EI658" t="s">
        <v>3</v>
      </c>
      <c r="EJ658">
        <v>4</v>
      </c>
      <c r="EK658">
        <v>0</v>
      </c>
      <c r="EL658" t="s">
        <v>22</v>
      </c>
      <c r="EM658" t="s">
        <v>23</v>
      </c>
      <c r="EO658" t="s">
        <v>3</v>
      </c>
      <c r="EQ658">
        <v>1024</v>
      </c>
      <c r="ER658">
        <v>24.71</v>
      </c>
      <c r="ES658">
        <v>0.01</v>
      </c>
      <c r="ET658">
        <v>0</v>
      </c>
      <c r="EU658">
        <v>0</v>
      </c>
      <c r="EV658">
        <v>24.7</v>
      </c>
      <c r="EW658">
        <v>0.04</v>
      </c>
      <c r="EX658">
        <v>0</v>
      </c>
      <c r="EY658">
        <v>0</v>
      </c>
      <c r="FQ658">
        <v>0</v>
      </c>
      <c r="FR658">
        <f t="shared" si="596"/>
        <v>0</v>
      </c>
      <c r="FS658">
        <v>0</v>
      </c>
      <c r="FX658">
        <v>70</v>
      </c>
      <c r="FY658">
        <v>10</v>
      </c>
      <c r="GA658" t="s">
        <v>3</v>
      </c>
      <c r="GD658">
        <v>0</v>
      </c>
      <c r="GF658">
        <v>-1630540516</v>
      </c>
      <c r="GG658">
        <v>2</v>
      </c>
      <c r="GH658">
        <v>1</v>
      </c>
      <c r="GI658">
        <v>-2</v>
      </c>
      <c r="GJ658">
        <v>0</v>
      </c>
      <c r="GK658">
        <f>ROUND(R658*(R12)/100,2)</f>
        <v>0</v>
      </c>
      <c r="GL658">
        <f t="shared" si="597"/>
        <v>0</v>
      </c>
      <c r="GM658">
        <f t="shared" si="598"/>
        <v>10672.8</v>
      </c>
      <c r="GN658">
        <f t="shared" si="599"/>
        <v>0</v>
      </c>
      <c r="GO658">
        <f t="shared" si="600"/>
        <v>0</v>
      </c>
      <c r="GP658">
        <f t="shared" si="601"/>
        <v>10672.8</v>
      </c>
      <c r="GR658">
        <v>0</v>
      </c>
      <c r="GS658">
        <v>3</v>
      </c>
      <c r="GT658">
        <v>0</v>
      </c>
      <c r="GU658" t="s">
        <v>3</v>
      </c>
      <c r="GV658">
        <f t="shared" si="602"/>
        <v>0</v>
      </c>
      <c r="GW658">
        <v>1</v>
      </c>
      <c r="GX658">
        <f t="shared" si="603"/>
        <v>0</v>
      </c>
      <c r="HA658">
        <v>0</v>
      </c>
      <c r="HB658">
        <v>0</v>
      </c>
      <c r="HC658">
        <f t="shared" si="604"/>
        <v>0</v>
      </c>
      <c r="HE658" t="s">
        <v>3</v>
      </c>
      <c r="HF658" t="s">
        <v>3</v>
      </c>
      <c r="HM658" t="s">
        <v>3</v>
      </c>
      <c r="HN658" t="s">
        <v>3</v>
      </c>
      <c r="HO658" t="s">
        <v>3</v>
      </c>
      <c r="HP658" t="s">
        <v>3</v>
      </c>
      <c r="HQ658" t="s">
        <v>3</v>
      </c>
      <c r="IK658">
        <v>0</v>
      </c>
    </row>
    <row r="659" spans="1:245" x14ac:dyDescent="0.2">
      <c r="A659">
        <v>17</v>
      </c>
      <c r="B659">
        <v>1</v>
      </c>
      <c r="D659">
        <f>ROW(EtalonRes!A373)</f>
        <v>373</v>
      </c>
      <c r="E659" t="s">
        <v>378</v>
      </c>
      <c r="F659" t="s">
        <v>220</v>
      </c>
      <c r="G659" t="s">
        <v>333</v>
      </c>
      <c r="H659" t="s">
        <v>36</v>
      </c>
      <c r="I659">
        <f>ROUND(8*10,9)</f>
        <v>80</v>
      </c>
      <c r="J659">
        <v>0</v>
      </c>
      <c r="K659">
        <f>ROUND(8*10,9)</f>
        <v>80</v>
      </c>
      <c r="O659">
        <f t="shared" si="572"/>
        <v>59415.199999999997</v>
      </c>
      <c r="P659">
        <f t="shared" si="573"/>
        <v>136</v>
      </c>
      <c r="Q659">
        <f t="shared" si="574"/>
        <v>0</v>
      </c>
      <c r="R659">
        <f t="shared" si="575"/>
        <v>0</v>
      </c>
      <c r="S659">
        <f t="shared" si="576"/>
        <v>59279.199999999997</v>
      </c>
      <c r="T659">
        <f t="shared" si="577"/>
        <v>0</v>
      </c>
      <c r="U659">
        <f t="shared" si="578"/>
        <v>96</v>
      </c>
      <c r="V659">
        <f t="shared" si="579"/>
        <v>0</v>
      </c>
      <c r="W659">
        <f t="shared" si="580"/>
        <v>0</v>
      </c>
      <c r="X659">
        <f t="shared" si="581"/>
        <v>41495.440000000002</v>
      </c>
      <c r="Y659">
        <f t="shared" si="582"/>
        <v>5927.92</v>
      </c>
      <c r="AA659">
        <v>1471718271</v>
      </c>
      <c r="AB659">
        <f t="shared" si="583"/>
        <v>742.69</v>
      </c>
      <c r="AC659">
        <f>ROUND((ES659),6)</f>
        <v>1.7</v>
      </c>
      <c r="AD659">
        <f>ROUND((((ET659)-(EU659))+AE659),6)</f>
        <v>0</v>
      </c>
      <c r="AE659">
        <f>ROUND((EU659),6)</f>
        <v>0</v>
      </c>
      <c r="AF659">
        <f>ROUND((EV659),6)</f>
        <v>740.99</v>
      </c>
      <c r="AG659">
        <f t="shared" si="584"/>
        <v>0</v>
      </c>
      <c r="AH659">
        <f>(EW659)</f>
        <v>1.2</v>
      </c>
      <c r="AI659">
        <f>(EX659)</f>
        <v>0</v>
      </c>
      <c r="AJ659">
        <f t="shared" si="585"/>
        <v>0</v>
      </c>
      <c r="AK659">
        <v>742.69</v>
      </c>
      <c r="AL659">
        <v>1.7</v>
      </c>
      <c r="AM659">
        <v>0</v>
      </c>
      <c r="AN659">
        <v>0</v>
      </c>
      <c r="AO659">
        <v>740.99</v>
      </c>
      <c r="AP659">
        <v>0</v>
      </c>
      <c r="AQ659">
        <v>1.2</v>
      </c>
      <c r="AR659">
        <v>0</v>
      </c>
      <c r="AS659">
        <v>0</v>
      </c>
      <c r="AT659">
        <v>70</v>
      </c>
      <c r="AU659">
        <v>10</v>
      </c>
      <c r="AV659">
        <v>1</v>
      </c>
      <c r="AW659">
        <v>1</v>
      </c>
      <c r="AZ659">
        <v>1</v>
      </c>
      <c r="BA659">
        <v>1</v>
      </c>
      <c r="BB659">
        <v>1</v>
      </c>
      <c r="BC659">
        <v>1</v>
      </c>
      <c r="BD659" t="s">
        <v>3</v>
      </c>
      <c r="BE659" t="s">
        <v>3</v>
      </c>
      <c r="BF659" t="s">
        <v>3</v>
      </c>
      <c r="BG659" t="s">
        <v>3</v>
      </c>
      <c r="BH659">
        <v>0</v>
      </c>
      <c r="BI659">
        <v>4</v>
      </c>
      <c r="BJ659" t="s">
        <v>222</v>
      </c>
      <c r="BM659">
        <v>0</v>
      </c>
      <c r="BN659">
        <v>0</v>
      </c>
      <c r="BO659" t="s">
        <v>3</v>
      </c>
      <c r="BP659">
        <v>0</v>
      </c>
      <c r="BQ659">
        <v>1</v>
      </c>
      <c r="BR659">
        <v>0</v>
      </c>
      <c r="BS659">
        <v>1</v>
      </c>
      <c r="BT659">
        <v>1</v>
      </c>
      <c r="BU659">
        <v>1</v>
      </c>
      <c r="BV659">
        <v>1</v>
      </c>
      <c r="BW659">
        <v>1</v>
      </c>
      <c r="BX659">
        <v>1</v>
      </c>
      <c r="BY659" t="s">
        <v>3</v>
      </c>
      <c r="BZ659">
        <v>70</v>
      </c>
      <c r="CA659">
        <v>10</v>
      </c>
      <c r="CB659" t="s">
        <v>3</v>
      </c>
      <c r="CE659">
        <v>0</v>
      </c>
      <c r="CF659">
        <v>0</v>
      </c>
      <c r="CG659">
        <v>0</v>
      </c>
      <c r="CM659">
        <v>0</v>
      </c>
      <c r="CN659" t="s">
        <v>3</v>
      </c>
      <c r="CO659">
        <v>0</v>
      </c>
      <c r="CP659">
        <f t="shared" si="586"/>
        <v>59415.199999999997</v>
      </c>
      <c r="CQ659">
        <f t="shared" si="587"/>
        <v>1.7</v>
      </c>
      <c r="CR659">
        <f>((((ET659)*BB659-(EU659)*BS659)+AE659*BS659)*AV659)</f>
        <v>0</v>
      </c>
      <c r="CS659">
        <f t="shared" si="588"/>
        <v>0</v>
      </c>
      <c r="CT659">
        <f t="shared" si="589"/>
        <v>740.99</v>
      </c>
      <c r="CU659">
        <f t="shared" si="590"/>
        <v>0</v>
      </c>
      <c r="CV659">
        <f t="shared" si="591"/>
        <v>1.2</v>
      </c>
      <c r="CW659">
        <f t="shared" si="592"/>
        <v>0</v>
      </c>
      <c r="CX659">
        <f t="shared" si="593"/>
        <v>0</v>
      </c>
      <c r="CY659">
        <f t="shared" si="594"/>
        <v>41495.440000000002</v>
      </c>
      <c r="CZ659">
        <f t="shared" si="595"/>
        <v>5927.92</v>
      </c>
      <c r="DC659" t="s">
        <v>3</v>
      </c>
      <c r="DD659" t="s">
        <v>3</v>
      </c>
      <c r="DE659" t="s">
        <v>3</v>
      </c>
      <c r="DF659" t="s">
        <v>3</v>
      </c>
      <c r="DG659" t="s">
        <v>3</v>
      </c>
      <c r="DH659" t="s">
        <v>3</v>
      </c>
      <c r="DI659" t="s">
        <v>3</v>
      </c>
      <c r="DJ659" t="s">
        <v>3</v>
      </c>
      <c r="DK659" t="s">
        <v>3</v>
      </c>
      <c r="DL659" t="s">
        <v>3</v>
      </c>
      <c r="DM659" t="s">
        <v>3</v>
      </c>
      <c r="DN659">
        <v>0</v>
      </c>
      <c r="DO659">
        <v>0</v>
      </c>
      <c r="DP659">
        <v>1</v>
      </c>
      <c r="DQ659">
        <v>1</v>
      </c>
      <c r="DU659">
        <v>16987630</v>
      </c>
      <c r="DV659" t="s">
        <v>36</v>
      </c>
      <c r="DW659" t="s">
        <v>36</v>
      </c>
      <c r="DX659">
        <v>1</v>
      </c>
      <c r="DZ659" t="s">
        <v>3</v>
      </c>
      <c r="EA659" t="s">
        <v>3</v>
      </c>
      <c r="EB659" t="s">
        <v>3</v>
      </c>
      <c r="EC659" t="s">
        <v>3</v>
      </c>
      <c r="EE659">
        <v>1441815344</v>
      </c>
      <c r="EF659">
        <v>1</v>
      </c>
      <c r="EG659" t="s">
        <v>21</v>
      </c>
      <c r="EH659">
        <v>0</v>
      </c>
      <c r="EI659" t="s">
        <v>3</v>
      </c>
      <c r="EJ659">
        <v>4</v>
      </c>
      <c r="EK659">
        <v>0</v>
      </c>
      <c r="EL659" t="s">
        <v>22</v>
      </c>
      <c r="EM659" t="s">
        <v>23</v>
      </c>
      <c r="EO659" t="s">
        <v>3</v>
      </c>
      <c r="EQ659">
        <v>0</v>
      </c>
      <c r="ER659">
        <v>742.69</v>
      </c>
      <c r="ES659">
        <v>1.7</v>
      </c>
      <c r="ET659">
        <v>0</v>
      </c>
      <c r="EU659">
        <v>0</v>
      </c>
      <c r="EV659">
        <v>740.99</v>
      </c>
      <c r="EW659">
        <v>1.2</v>
      </c>
      <c r="EX659">
        <v>0</v>
      </c>
      <c r="EY659">
        <v>0</v>
      </c>
      <c r="FQ659">
        <v>0</v>
      </c>
      <c r="FR659">
        <f t="shared" si="596"/>
        <v>0</v>
      </c>
      <c r="FS659">
        <v>0</v>
      </c>
      <c r="FX659">
        <v>70</v>
      </c>
      <c r="FY659">
        <v>10</v>
      </c>
      <c r="GA659" t="s">
        <v>3</v>
      </c>
      <c r="GD659">
        <v>0</v>
      </c>
      <c r="GF659">
        <v>-2040258935</v>
      </c>
      <c r="GG659">
        <v>2</v>
      </c>
      <c r="GH659">
        <v>1</v>
      </c>
      <c r="GI659">
        <v>-2</v>
      </c>
      <c r="GJ659">
        <v>0</v>
      </c>
      <c r="GK659">
        <f>ROUND(R659*(R12)/100,2)</f>
        <v>0</v>
      </c>
      <c r="GL659">
        <f t="shared" si="597"/>
        <v>0</v>
      </c>
      <c r="GM659">
        <f t="shared" si="598"/>
        <v>106838.56</v>
      </c>
      <c r="GN659">
        <f t="shared" si="599"/>
        <v>0</v>
      </c>
      <c r="GO659">
        <f t="shared" si="600"/>
        <v>0</v>
      </c>
      <c r="GP659">
        <f t="shared" si="601"/>
        <v>106838.56</v>
      </c>
      <c r="GR659">
        <v>0</v>
      </c>
      <c r="GS659">
        <v>3</v>
      </c>
      <c r="GT659">
        <v>0</v>
      </c>
      <c r="GU659" t="s">
        <v>3</v>
      </c>
      <c r="GV659">
        <f t="shared" si="602"/>
        <v>0</v>
      </c>
      <c r="GW659">
        <v>1</v>
      </c>
      <c r="GX659">
        <f t="shared" si="603"/>
        <v>0</v>
      </c>
      <c r="HA659">
        <v>0</v>
      </c>
      <c r="HB659">
        <v>0</v>
      </c>
      <c r="HC659">
        <f t="shared" si="604"/>
        <v>0</v>
      </c>
      <c r="HE659" t="s">
        <v>3</v>
      </c>
      <c r="HF659" t="s">
        <v>3</v>
      </c>
      <c r="HM659" t="s">
        <v>3</v>
      </c>
      <c r="HN659" t="s">
        <v>3</v>
      </c>
      <c r="HO659" t="s">
        <v>3</v>
      </c>
      <c r="HP659" t="s">
        <v>3</v>
      </c>
      <c r="HQ659" t="s">
        <v>3</v>
      </c>
      <c r="IK659">
        <v>0</v>
      </c>
    </row>
    <row r="660" spans="1:245" x14ac:dyDescent="0.2">
      <c r="A660">
        <v>17</v>
      </c>
      <c r="B660">
        <v>1</v>
      </c>
      <c r="D660">
        <f>ROW(EtalonRes!A376)</f>
        <v>376</v>
      </c>
      <c r="E660" t="s">
        <v>379</v>
      </c>
      <c r="F660" t="s">
        <v>213</v>
      </c>
      <c r="G660" t="s">
        <v>224</v>
      </c>
      <c r="H660" t="s">
        <v>36</v>
      </c>
      <c r="I660">
        <f>ROUND(2*10,9)</f>
        <v>20</v>
      </c>
      <c r="J660">
        <v>0</v>
      </c>
      <c r="K660">
        <f>ROUND(2*10,9)</f>
        <v>20</v>
      </c>
      <c r="O660">
        <f t="shared" si="572"/>
        <v>8697.2000000000007</v>
      </c>
      <c r="P660">
        <f t="shared" si="573"/>
        <v>181.2</v>
      </c>
      <c r="Q660">
        <f t="shared" si="574"/>
        <v>0</v>
      </c>
      <c r="R660">
        <f t="shared" si="575"/>
        <v>0</v>
      </c>
      <c r="S660">
        <f t="shared" si="576"/>
        <v>8516</v>
      </c>
      <c r="T660">
        <f t="shared" si="577"/>
        <v>0</v>
      </c>
      <c r="U660">
        <f t="shared" si="578"/>
        <v>12</v>
      </c>
      <c r="V660">
        <f t="shared" si="579"/>
        <v>0</v>
      </c>
      <c r="W660">
        <f t="shared" si="580"/>
        <v>0</v>
      </c>
      <c r="X660">
        <f t="shared" si="581"/>
        <v>5961.2</v>
      </c>
      <c r="Y660">
        <f t="shared" si="582"/>
        <v>851.6</v>
      </c>
      <c r="AA660">
        <v>1471718271</v>
      </c>
      <c r="AB660">
        <f t="shared" si="583"/>
        <v>434.86</v>
      </c>
      <c r="AC660">
        <f>ROUND(((ES660*2)),6)</f>
        <v>9.06</v>
      </c>
      <c r="AD660">
        <f>ROUND(((((ET660*2))-((EU660*2)))+AE660),6)</f>
        <v>0</v>
      </c>
      <c r="AE660">
        <f>ROUND(((EU660*2)),6)</f>
        <v>0</v>
      </c>
      <c r="AF660">
        <f>ROUND(((EV660*2)),6)</f>
        <v>425.8</v>
      </c>
      <c r="AG660">
        <f t="shared" si="584"/>
        <v>0</v>
      </c>
      <c r="AH660">
        <f>((EW660*2))</f>
        <v>0.6</v>
      </c>
      <c r="AI660">
        <f>((EX660*2))</f>
        <v>0</v>
      </c>
      <c r="AJ660">
        <f t="shared" si="585"/>
        <v>0</v>
      </c>
      <c r="AK660">
        <v>217.43</v>
      </c>
      <c r="AL660">
        <v>4.53</v>
      </c>
      <c r="AM660">
        <v>0</v>
      </c>
      <c r="AN660">
        <v>0</v>
      </c>
      <c r="AO660">
        <v>212.9</v>
      </c>
      <c r="AP660">
        <v>0</v>
      </c>
      <c r="AQ660">
        <v>0.3</v>
      </c>
      <c r="AR660">
        <v>0</v>
      </c>
      <c r="AS660">
        <v>0</v>
      </c>
      <c r="AT660">
        <v>70</v>
      </c>
      <c r="AU660">
        <v>10</v>
      </c>
      <c r="AV660">
        <v>1</v>
      </c>
      <c r="AW660">
        <v>1</v>
      </c>
      <c r="AZ660">
        <v>1</v>
      </c>
      <c r="BA660">
        <v>1</v>
      </c>
      <c r="BB660">
        <v>1</v>
      </c>
      <c r="BC660">
        <v>1</v>
      </c>
      <c r="BD660" t="s">
        <v>3</v>
      </c>
      <c r="BE660" t="s">
        <v>3</v>
      </c>
      <c r="BF660" t="s">
        <v>3</v>
      </c>
      <c r="BG660" t="s">
        <v>3</v>
      </c>
      <c r="BH660">
        <v>0</v>
      </c>
      <c r="BI660">
        <v>4</v>
      </c>
      <c r="BJ660" t="s">
        <v>215</v>
      </c>
      <c r="BM660">
        <v>0</v>
      </c>
      <c r="BN660">
        <v>0</v>
      </c>
      <c r="BO660" t="s">
        <v>3</v>
      </c>
      <c r="BP660">
        <v>0</v>
      </c>
      <c r="BQ660">
        <v>1</v>
      </c>
      <c r="BR660">
        <v>0</v>
      </c>
      <c r="BS660">
        <v>1</v>
      </c>
      <c r="BT660">
        <v>1</v>
      </c>
      <c r="BU660">
        <v>1</v>
      </c>
      <c r="BV660">
        <v>1</v>
      </c>
      <c r="BW660">
        <v>1</v>
      </c>
      <c r="BX660">
        <v>1</v>
      </c>
      <c r="BY660" t="s">
        <v>3</v>
      </c>
      <c r="BZ660">
        <v>70</v>
      </c>
      <c r="CA660">
        <v>10</v>
      </c>
      <c r="CB660" t="s">
        <v>3</v>
      </c>
      <c r="CE660">
        <v>0</v>
      </c>
      <c r="CF660">
        <v>0</v>
      </c>
      <c r="CG660">
        <v>0</v>
      </c>
      <c r="CM660">
        <v>0</v>
      </c>
      <c r="CN660" t="s">
        <v>3</v>
      </c>
      <c r="CO660">
        <v>0</v>
      </c>
      <c r="CP660">
        <f t="shared" si="586"/>
        <v>8697.2000000000007</v>
      </c>
      <c r="CQ660">
        <f t="shared" si="587"/>
        <v>9.06</v>
      </c>
      <c r="CR660">
        <f>(((((ET660*2))*BB660-((EU660*2))*BS660)+AE660*BS660)*AV660)</f>
        <v>0</v>
      </c>
      <c r="CS660">
        <f t="shared" si="588"/>
        <v>0</v>
      </c>
      <c r="CT660">
        <f t="shared" si="589"/>
        <v>425.8</v>
      </c>
      <c r="CU660">
        <f t="shared" si="590"/>
        <v>0</v>
      </c>
      <c r="CV660">
        <f t="shared" si="591"/>
        <v>0.6</v>
      </c>
      <c r="CW660">
        <f t="shared" si="592"/>
        <v>0</v>
      </c>
      <c r="CX660">
        <f t="shared" si="593"/>
        <v>0</v>
      </c>
      <c r="CY660">
        <f t="shared" si="594"/>
        <v>5961.2</v>
      </c>
      <c r="CZ660">
        <f t="shared" si="595"/>
        <v>851.6</v>
      </c>
      <c r="DC660" t="s">
        <v>3</v>
      </c>
      <c r="DD660" t="s">
        <v>42</v>
      </c>
      <c r="DE660" t="s">
        <v>42</v>
      </c>
      <c r="DF660" t="s">
        <v>42</v>
      </c>
      <c r="DG660" t="s">
        <v>42</v>
      </c>
      <c r="DH660" t="s">
        <v>3</v>
      </c>
      <c r="DI660" t="s">
        <v>42</v>
      </c>
      <c r="DJ660" t="s">
        <v>42</v>
      </c>
      <c r="DK660" t="s">
        <v>3</v>
      </c>
      <c r="DL660" t="s">
        <v>3</v>
      </c>
      <c r="DM660" t="s">
        <v>3</v>
      </c>
      <c r="DN660">
        <v>0</v>
      </c>
      <c r="DO660">
        <v>0</v>
      </c>
      <c r="DP660">
        <v>1</v>
      </c>
      <c r="DQ660">
        <v>1</v>
      </c>
      <c r="DU660">
        <v>16987630</v>
      </c>
      <c r="DV660" t="s">
        <v>36</v>
      </c>
      <c r="DW660" t="s">
        <v>36</v>
      </c>
      <c r="DX660">
        <v>1</v>
      </c>
      <c r="DZ660" t="s">
        <v>3</v>
      </c>
      <c r="EA660" t="s">
        <v>3</v>
      </c>
      <c r="EB660" t="s">
        <v>3</v>
      </c>
      <c r="EC660" t="s">
        <v>3</v>
      </c>
      <c r="EE660">
        <v>1441815344</v>
      </c>
      <c r="EF660">
        <v>1</v>
      </c>
      <c r="EG660" t="s">
        <v>21</v>
      </c>
      <c r="EH660">
        <v>0</v>
      </c>
      <c r="EI660" t="s">
        <v>3</v>
      </c>
      <c r="EJ660">
        <v>4</v>
      </c>
      <c r="EK660">
        <v>0</v>
      </c>
      <c r="EL660" t="s">
        <v>22</v>
      </c>
      <c r="EM660" t="s">
        <v>23</v>
      </c>
      <c r="EO660" t="s">
        <v>3</v>
      </c>
      <c r="EQ660">
        <v>0</v>
      </c>
      <c r="ER660">
        <v>217.43</v>
      </c>
      <c r="ES660">
        <v>4.53</v>
      </c>
      <c r="ET660">
        <v>0</v>
      </c>
      <c r="EU660">
        <v>0</v>
      </c>
      <c r="EV660">
        <v>212.9</v>
      </c>
      <c r="EW660">
        <v>0.3</v>
      </c>
      <c r="EX660">
        <v>0</v>
      </c>
      <c r="EY660">
        <v>0</v>
      </c>
      <c r="FQ660">
        <v>0</v>
      </c>
      <c r="FR660">
        <f t="shared" si="596"/>
        <v>0</v>
      </c>
      <c r="FS660">
        <v>0</v>
      </c>
      <c r="FX660">
        <v>70</v>
      </c>
      <c r="FY660">
        <v>10</v>
      </c>
      <c r="GA660" t="s">
        <v>3</v>
      </c>
      <c r="GD660">
        <v>0</v>
      </c>
      <c r="GF660">
        <v>-680911377</v>
      </c>
      <c r="GG660">
        <v>2</v>
      </c>
      <c r="GH660">
        <v>1</v>
      </c>
      <c r="GI660">
        <v>-2</v>
      </c>
      <c r="GJ660">
        <v>0</v>
      </c>
      <c r="GK660">
        <f>ROUND(R660*(R12)/100,2)</f>
        <v>0</v>
      </c>
      <c r="GL660">
        <f t="shared" si="597"/>
        <v>0</v>
      </c>
      <c r="GM660">
        <f t="shared" si="598"/>
        <v>15510</v>
      </c>
      <c r="GN660">
        <f t="shared" si="599"/>
        <v>0</v>
      </c>
      <c r="GO660">
        <f t="shared" si="600"/>
        <v>0</v>
      </c>
      <c r="GP660">
        <f t="shared" si="601"/>
        <v>15510</v>
      </c>
      <c r="GR660">
        <v>0</v>
      </c>
      <c r="GS660">
        <v>3</v>
      </c>
      <c r="GT660">
        <v>0</v>
      </c>
      <c r="GU660" t="s">
        <v>3</v>
      </c>
      <c r="GV660">
        <f t="shared" si="602"/>
        <v>0</v>
      </c>
      <c r="GW660">
        <v>1</v>
      </c>
      <c r="GX660">
        <f t="shared" si="603"/>
        <v>0</v>
      </c>
      <c r="HA660">
        <v>0</v>
      </c>
      <c r="HB660">
        <v>0</v>
      </c>
      <c r="HC660">
        <f t="shared" si="604"/>
        <v>0</v>
      </c>
      <c r="HE660" t="s">
        <v>3</v>
      </c>
      <c r="HF660" t="s">
        <v>3</v>
      </c>
      <c r="HM660" t="s">
        <v>3</v>
      </c>
      <c r="HN660" t="s">
        <v>3</v>
      </c>
      <c r="HO660" t="s">
        <v>3</v>
      </c>
      <c r="HP660" t="s">
        <v>3</v>
      </c>
      <c r="HQ660" t="s">
        <v>3</v>
      </c>
      <c r="IK660">
        <v>0</v>
      </c>
    </row>
    <row r="661" spans="1:245" x14ac:dyDescent="0.2">
      <c r="A661">
        <v>19</v>
      </c>
      <c r="B661">
        <v>1</v>
      </c>
      <c r="F661" t="s">
        <v>3</v>
      </c>
      <c r="G661" t="s">
        <v>380</v>
      </c>
      <c r="H661" t="s">
        <v>3</v>
      </c>
      <c r="AA661">
        <v>1</v>
      </c>
      <c r="IK661">
        <v>0</v>
      </c>
    </row>
    <row r="662" spans="1:245" x14ac:dyDescent="0.2">
      <c r="A662">
        <v>17</v>
      </c>
      <c r="B662">
        <v>1</v>
      </c>
      <c r="D662">
        <f>ROW(EtalonRes!A378)</f>
        <v>378</v>
      </c>
      <c r="E662" t="s">
        <v>381</v>
      </c>
      <c r="F662" t="s">
        <v>227</v>
      </c>
      <c r="G662" t="s">
        <v>337</v>
      </c>
      <c r="H662" t="s">
        <v>36</v>
      </c>
      <c r="I662">
        <f>ROUND(8*10,9)</f>
        <v>80</v>
      </c>
      <c r="J662">
        <v>0</v>
      </c>
      <c r="K662">
        <f>ROUND(8*10,9)</f>
        <v>80</v>
      </c>
      <c r="O662">
        <f>ROUND(CP662,2)</f>
        <v>18809.98</v>
      </c>
      <c r="P662">
        <f>ROUND(CQ662*I662,2)</f>
        <v>100.8</v>
      </c>
      <c r="Q662">
        <f>ROUND(CR662*I662,2)</f>
        <v>0</v>
      </c>
      <c r="R662">
        <f>ROUND(CS662*I662,2)</f>
        <v>0</v>
      </c>
      <c r="S662">
        <f>ROUND(CT662*I662,2)</f>
        <v>18709.18</v>
      </c>
      <c r="T662">
        <f>ROUND(CU662*I662,2)</f>
        <v>0</v>
      </c>
      <c r="U662">
        <f>CV662*I662</f>
        <v>33.28</v>
      </c>
      <c r="V662">
        <f>CW662*I662</f>
        <v>0</v>
      </c>
      <c r="W662">
        <f>ROUND(CX662*I662,2)</f>
        <v>0</v>
      </c>
      <c r="X662">
        <f t="shared" ref="X662:Y664" si="605">ROUND(CY662,2)</f>
        <v>13096.43</v>
      </c>
      <c r="Y662">
        <f t="shared" si="605"/>
        <v>1870.92</v>
      </c>
      <c r="AA662">
        <v>1471718271</v>
      </c>
      <c r="AB662">
        <f>ROUND((AC662+AD662+AF662),6)</f>
        <v>235.12479999999999</v>
      </c>
      <c r="AC662">
        <f>ROUND((ES662),6)</f>
        <v>1.26</v>
      </c>
      <c r="AD662">
        <f>ROUND((((ET662)-(EU662))+AE662),6)</f>
        <v>0</v>
      </c>
      <c r="AE662">
        <f>ROUND((EU662),6)</f>
        <v>0</v>
      </c>
      <c r="AF662">
        <f>ROUND(((EV662*1.04)),6)</f>
        <v>233.8648</v>
      </c>
      <c r="AG662">
        <f>ROUND((AP662),6)</f>
        <v>0</v>
      </c>
      <c r="AH662">
        <f>((EW662*1.04))</f>
        <v>0.41600000000000004</v>
      </c>
      <c r="AI662">
        <f>(EX662)</f>
        <v>0</v>
      </c>
      <c r="AJ662">
        <f>(AS662)</f>
        <v>0</v>
      </c>
      <c r="AK662">
        <v>226.13</v>
      </c>
      <c r="AL662">
        <v>1.26</v>
      </c>
      <c r="AM662">
        <v>0</v>
      </c>
      <c r="AN662">
        <v>0</v>
      </c>
      <c r="AO662">
        <v>224.87</v>
      </c>
      <c r="AP662">
        <v>0</v>
      </c>
      <c r="AQ662">
        <v>0.4</v>
      </c>
      <c r="AR662">
        <v>0</v>
      </c>
      <c r="AS662">
        <v>0</v>
      </c>
      <c r="AT662">
        <v>70</v>
      </c>
      <c r="AU662">
        <v>10</v>
      </c>
      <c r="AV662">
        <v>1</v>
      </c>
      <c r="AW662">
        <v>1</v>
      </c>
      <c r="AZ662">
        <v>1</v>
      </c>
      <c r="BA662">
        <v>1</v>
      </c>
      <c r="BB662">
        <v>1</v>
      </c>
      <c r="BC662">
        <v>1</v>
      </c>
      <c r="BD662" t="s">
        <v>3</v>
      </c>
      <c r="BE662" t="s">
        <v>3</v>
      </c>
      <c r="BF662" t="s">
        <v>3</v>
      </c>
      <c r="BG662" t="s">
        <v>3</v>
      </c>
      <c r="BH662">
        <v>0</v>
      </c>
      <c r="BI662">
        <v>4</v>
      </c>
      <c r="BJ662" t="s">
        <v>229</v>
      </c>
      <c r="BM662">
        <v>0</v>
      </c>
      <c r="BN662">
        <v>0</v>
      </c>
      <c r="BO662" t="s">
        <v>3</v>
      </c>
      <c r="BP662">
        <v>0</v>
      </c>
      <c r="BQ662">
        <v>1</v>
      </c>
      <c r="BR662">
        <v>0</v>
      </c>
      <c r="BS662">
        <v>1</v>
      </c>
      <c r="BT662">
        <v>1</v>
      </c>
      <c r="BU662">
        <v>1</v>
      </c>
      <c r="BV662">
        <v>1</v>
      </c>
      <c r="BW662">
        <v>1</v>
      </c>
      <c r="BX662">
        <v>1</v>
      </c>
      <c r="BY662" t="s">
        <v>3</v>
      </c>
      <c r="BZ662">
        <v>70</v>
      </c>
      <c r="CA662">
        <v>10</v>
      </c>
      <c r="CB662" t="s">
        <v>3</v>
      </c>
      <c r="CE662">
        <v>0</v>
      </c>
      <c r="CF662">
        <v>0</v>
      </c>
      <c r="CG662">
        <v>0</v>
      </c>
      <c r="CM662">
        <v>0</v>
      </c>
      <c r="CN662" t="s">
        <v>230</v>
      </c>
      <c r="CO662">
        <v>0</v>
      </c>
      <c r="CP662">
        <f>(P662+Q662+S662)</f>
        <v>18809.98</v>
      </c>
      <c r="CQ662">
        <f>(AC662*BC662*AW662)</f>
        <v>1.26</v>
      </c>
      <c r="CR662">
        <f>((((ET662)*BB662-(EU662)*BS662)+AE662*BS662)*AV662)</f>
        <v>0</v>
      </c>
      <c r="CS662">
        <f>(AE662*BS662*AV662)</f>
        <v>0</v>
      </c>
      <c r="CT662">
        <f>(AF662*BA662*AV662)</f>
        <v>233.8648</v>
      </c>
      <c r="CU662">
        <f>AG662</f>
        <v>0</v>
      </c>
      <c r="CV662">
        <f>(AH662*AV662)</f>
        <v>0.41600000000000004</v>
      </c>
      <c r="CW662">
        <f t="shared" ref="CW662:CX664" si="606">AI662</f>
        <v>0</v>
      </c>
      <c r="CX662">
        <f t="shared" si="606"/>
        <v>0</v>
      </c>
      <c r="CY662">
        <f>((S662*BZ662)/100)</f>
        <v>13096.426000000001</v>
      </c>
      <c r="CZ662">
        <f>((S662*CA662)/100)</f>
        <v>1870.9179999999999</v>
      </c>
      <c r="DC662" t="s">
        <v>3</v>
      </c>
      <c r="DD662" t="s">
        <v>3</v>
      </c>
      <c r="DE662" t="s">
        <v>3</v>
      </c>
      <c r="DF662" t="s">
        <v>3</v>
      </c>
      <c r="DG662" t="s">
        <v>231</v>
      </c>
      <c r="DH662" t="s">
        <v>3</v>
      </c>
      <c r="DI662" t="s">
        <v>231</v>
      </c>
      <c r="DJ662" t="s">
        <v>3</v>
      </c>
      <c r="DK662" t="s">
        <v>3</v>
      </c>
      <c r="DL662" t="s">
        <v>3</v>
      </c>
      <c r="DM662" t="s">
        <v>3</v>
      </c>
      <c r="DN662">
        <v>0</v>
      </c>
      <c r="DO662">
        <v>0</v>
      </c>
      <c r="DP662">
        <v>1</v>
      </c>
      <c r="DQ662">
        <v>1</v>
      </c>
      <c r="DU662">
        <v>16987630</v>
      </c>
      <c r="DV662" t="s">
        <v>36</v>
      </c>
      <c r="DW662" t="s">
        <v>36</v>
      </c>
      <c r="DX662">
        <v>1</v>
      </c>
      <c r="DZ662" t="s">
        <v>3</v>
      </c>
      <c r="EA662" t="s">
        <v>3</v>
      </c>
      <c r="EB662" t="s">
        <v>3</v>
      </c>
      <c r="EC662" t="s">
        <v>3</v>
      </c>
      <c r="EE662">
        <v>1441815344</v>
      </c>
      <c r="EF662">
        <v>1</v>
      </c>
      <c r="EG662" t="s">
        <v>21</v>
      </c>
      <c r="EH662">
        <v>0</v>
      </c>
      <c r="EI662" t="s">
        <v>3</v>
      </c>
      <c r="EJ662">
        <v>4</v>
      </c>
      <c r="EK662">
        <v>0</v>
      </c>
      <c r="EL662" t="s">
        <v>22</v>
      </c>
      <c r="EM662" t="s">
        <v>23</v>
      </c>
      <c r="EO662" t="s">
        <v>232</v>
      </c>
      <c r="EQ662">
        <v>768</v>
      </c>
      <c r="ER662">
        <v>226.13</v>
      </c>
      <c r="ES662">
        <v>1.26</v>
      </c>
      <c r="ET662">
        <v>0</v>
      </c>
      <c r="EU662">
        <v>0</v>
      </c>
      <c r="EV662">
        <v>224.87</v>
      </c>
      <c r="EW662">
        <v>0.4</v>
      </c>
      <c r="EX662">
        <v>0</v>
      </c>
      <c r="EY662">
        <v>0</v>
      </c>
      <c r="FQ662">
        <v>0</v>
      </c>
      <c r="FR662">
        <f>ROUND(IF(BI662=3,GM662,0),2)</f>
        <v>0</v>
      </c>
      <c r="FS662">
        <v>0</v>
      </c>
      <c r="FX662">
        <v>70</v>
      </c>
      <c r="FY662">
        <v>10</v>
      </c>
      <c r="GA662" t="s">
        <v>3</v>
      </c>
      <c r="GD662">
        <v>0</v>
      </c>
      <c r="GF662">
        <v>-287878839</v>
      </c>
      <c r="GG662">
        <v>2</v>
      </c>
      <c r="GH662">
        <v>1</v>
      </c>
      <c r="GI662">
        <v>-2</v>
      </c>
      <c r="GJ662">
        <v>0</v>
      </c>
      <c r="GK662">
        <f>ROUND(R662*(R12)/100,2)</f>
        <v>0</v>
      </c>
      <c r="GL662">
        <f>ROUND(IF(AND(BH662=3,BI662=3,FS662&lt;&gt;0),P662,0),2)</f>
        <v>0</v>
      </c>
      <c r="GM662">
        <f>ROUND(O662+X662+Y662+GK662,2)+GX662</f>
        <v>33777.33</v>
      </c>
      <c r="GN662">
        <f>IF(OR(BI662=0,BI662=1),GM662-GX662,0)</f>
        <v>0</v>
      </c>
      <c r="GO662">
        <f>IF(BI662=2,GM662-GX662,0)</f>
        <v>0</v>
      </c>
      <c r="GP662">
        <f>IF(BI662=4,GM662-GX662,0)</f>
        <v>33777.33</v>
      </c>
      <c r="GR662">
        <v>0</v>
      </c>
      <c r="GS662">
        <v>3</v>
      </c>
      <c r="GT662">
        <v>0</v>
      </c>
      <c r="GU662" t="s">
        <v>3</v>
      </c>
      <c r="GV662">
        <f>ROUND((GT662),6)</f>
        <v>0</v>
      </c>
      <c r="GW662">
        <v>1</v>
      </c>
      <c r="GX662">
        <f>ROUND(HC662*I662,2)</f>
        <v>0</v>
      </c>
      <c r="HA662">
        <v>0</v>
      </c>
      <c r="HB662">
        <v>0</v>
      </c>
      <c r="HC662">
        <f>GV662*GW662</f>
        <v>0</v>
      </c>
      <c r="HE662" t="s">
        <v>3</v>
      </c>
      <c r="HF662" t="s">
        <v>3</v>
      </c>
      <c r="HM662" t="s">
        <v>3</v>
      </c>
      <c r="HN662" t="s">
        <v>3</v>
      </c>
      <c r="HO662" t="s">
        <v>3</v>
      </c>
      <c r="HP662" t="s">
        <v>3</v>
      </c>
      <c r="HQ662" t="s">
        <v>3</v>
      </c>
      <c r="IK662">
        <v>0</v>
      </c>
    </row>
    <row r="663" spans="1:245" x14ac:dyDescent="0.2">
      <c r="A663">
        <v>17</v>
      </c>
      <c r="B663">
        <v>1</v>
      </c>
      <c r="D663">
        <f>ROW(EtalonRes!A380)</f>
        <v>380</v>
      </c>
      <c r="E663" t="s">
        <v>382</v>
      </c>
      <c r="F663" t="s">
        <v>339</v>
      </c>
      <c r="G663" t="s">
        <v>340</v>
      </c>
      <c r="H663" t="s">
        <v>36</v>
      </c>
      <c r="I663">
        <f>ROUND(9*10,9)</f>
        <v>90</v>
      </c>
      <c r="J663">
        <v>0</v>
      </c>
      <c r="K663">
        <f>ROUND(9*10,9)</f>
        <v>90</v>
      </c>
      <c r="O663">
        <f>ROUND(CP663,2)</f>
        <v>9584.7800000000007</v>
      </c>
      <c r="P663">
        <f>ROUND(CQ663*I663,2)</f>
        <v>113.4</v>
      </c>
      <c r="Q663">
        <f>ROUND(CR663*I663,2)</f>
        <v>0</v>
      </c>
      <c r="R663">
        <f>ROUND(CS663*I663,2)</f>
        <v>0</v>
      </c>
      <c r="S663">
        <f>ROUND(CT663*I663,2)</f>
        <v>9471.3799999999992</v>
      </c>
      <c r="T663">
        <f>ROUND(CU663*I663,2)</f>
        <v>0</v>
      </c>
      <c r="U663">
        <f>CV663*I663</f>
        <v>16.847999999999999</v>
      </c>
      <c r="V663">
        <f>CW663*I663</f>
        <v>0</v>
      </c>
      <c r="W663">
        <f>ROUND(CX663*I663,2)</f>
        <v>0</v>
      </c>
      <c r="X663">
        <f t="shared" si="605"/>
        <v>6629.97</v>
      </c>
      <c r="Y663">
        <f t="shared" si="605"/>
        <v>947.14</v>
      </c>
      <c r="AA663">
        <v>1471718271</v>
      </c>
      <c r="AB663">
        <f>ROUND((AC663+AD663+AF663),6)</f>
        <v>106.49760000000001</v>
      </c>
      <c r="AC663">
        <f>ROUND((ES663),6)</f>
        <v>1.26</v>
      </c>
      <c r="AD663">
        <f>ROUND((((ET663)-(EU663))+AE663),6)</f>
        <v>0</v>
      </c>
      <c r="AE663">
        <f>ROUND((EU663),6)</f>
        <v>0</v>
      </c>
      <c r="AF663">
        <f>ROUND(((EV663*1.04)),6)</f>
        <v>105.2376</v>
      </c>
      <c r="AG663">
        <f>ROUND((AP663),6)</f>
        <v>0</v>
      </c>
      <c r="AH663">
        <f>((EW663*1.04))</f>
        <v>0.18720000000000001</v>
      </c>
      <c r="AI663">
        <f>(EX663)</f>
        <v>0</v>
      </c>
      <c r="AJ663">
        <f>(AS663)</f>
        <v>0</v>
      </c>
      <c r="AK663">
        <v>102.45</v>
      </c>
      <c r="AL663">
        <v>1.26</v>
      </c>
      <c r="AM663">
        <v>0</v>
      </c>
      <c r="AN663">
        <v>0</v>
      </c>
      <c r="AO663">
        <v>101.19</v>
      </c>
      <c r="AP663">
        <v>0</v>
      </c>
      <c r="AQ663">
        <v>0.18</v>
      </c>
      <c r="AR663">
        <v>0</v>
      </c>
      <c r="AS663">
        <v>0</v>
      </c>
      <c r="AT663">
        <v>70</v>
      </c>
      <c r="AU663">
        <v>10</v>
      </c>
      <c r="AV663">
        <v>1</v>
      </c>
      <c r="AW663">
        <v>1</v>
      </c>
      <c r="AZ663">
        <v>1</v>
      </c>
      <c r="BA663">
        <v>1</v>
      </c>
      <c r="BB663">
        <v>1</v>
      </c>
      <c r="BC663">
        <v>1</v>
      </c>
      <c r="BD663" t="s">
        <v>3</v>
      </c>
      <c r="BE663" t="s">
        <v>3</v>
      </c>
      <c r="BF663" t="s">
        <v>3</v>
      </c>
      <c r="BG663" t="s">
        <v>3</v>
      </c>
      <c r="BH663">
        <v>0</v>
      </c>
      <c r="BI663">
        <v>4</v>
      </c>
      <c r="BJ663" t="s">
        <v>341</v>
      </c>
      <c r="BM663">
        <v>0</v>
      </c>
      <c r="BN663">
        <v>0</v>
      </c>
      <c r="BO663" t="s">
        <v>3</v>
      </c>
      <c r="BP663">
        <v>0</v>
      </c>
      <c r="BQ663">
        <v>1</v>
      </c>
      <c r="BR663">
        <v>0</v>
      </c>
      <c r="BS663">
        <v>1</v>
      </c>
      <c r="BT663">
        <v>1</v>
      </c>
      <c r="BU663">
        <v>1</v>
      </c>
      <c r="BV663">
        <v>1</v>
      </c>
      <c r="BW663">
        <v>1</v>
      </c>
      <c r="BX663">
        <v>1</v>
      </c>
      <c r="BY663" t="s">
        <v>3</v>
      </c>
      <c r="BZ663">
        <v>70</v>
      </c>
      <c r="CA663">
        <v>10</v>
      </c>
      <c r="CB663" t="s">
        <v>3</v>
      </c>
      <c r="CE663">
        <v>0</v>
      </c>
      <c r="CF663">
        <v>0</v>
      </c>
      <c r="CG663">
        <v>0</v>
      </c>
      <c r="CM663">
        <v>0</v>
      </c>
      <c r="CN663" t="s">
        <v>230</v>
      </c>
      <c r="CO663">
        <v>0</v>
      </c>
      <c r="CP663">
        <f>(P663+Q663+S663)</f>
        <v>9584.7799999999988</v>
      </c>
      <c r="CQ663">
        <f>(AC663*BC663*AW663)</f>
        <v>1.26</v>
      </c>
      <c r="CR663">
        <f>((((ET663)*BB663-(EU663)*BS663)+AE663*BS663)*AV663)</f>
        <v>0</v>
      </c>
      <c r="CS663">
        <f>(AE663*BS663*AV663)</f>
        <v>0</v>
      </c>
      <c r="CT663">
        <f>(AF663*BA663*AV663)</f>
        <v>105.2376</v>
      </c>
      <c r="CU663">
        <f>AG663</f>
        <v>0</v>
      </c>
      <c r="CV663">
        <f>(AH663*AV663)</f>
        <v>0.18720000000000001</v>
      </c>
      <c r="CW663">
        <f t="shared" si="606"/>
        <v>0</v>
      </c>
      <c r="CX663">
        <f t="shared" si="606"/>
        <v>0</v>
      </c>
      <c r="CY663">
        <f>((S663*BZ663)/100)</f>
        <v>6629.9659999999994</v>
      </c>
      <c r="CZ663">
        <f>((S663*CA663)/100)</f>
        <v>947.13799999999992</v>
      </c>
      <c r="DC663" t="s">
        <v>3</v>
      </c>
      <c r="DD663" t="s">
        <v>3</v>
      </c>
      <c r="DE663" t="s">
        <v>3</v>
      </c>
      <c r="DF663" t="s">
        <v>3</v>
      </c>
      <c r="DG663" t="s">
        <v>231</v>
      </c>
      <c r="DH663" t="s">
        <v>3</v>
      </c>
      <c r="DI663" t="s">
        <v>231</v>
      </c>
      <c r="DJ663" t="s">
        <v>3</v>
      </c>
      <c r="DK663" t="s">
        <v>3</v>
      </c>
      <c r="DL663" t="s">
        <v>3</v>
      </c>
      <c r="DM663" t="s">
        <v>3</v>
      </c>
      <c r="DN663">
        <v>0</v>
      </c>
      <c r="DO663">
        <v>0</v>
      </c>
      <c r="DP663">
        <v>1</v>
      </c>
      <c r="DQ663">
        <v>1</v>
      </c>
      <c r="DU663">
        <v>16987630</v>
      </c>
      <c r="DV663" t="s">
        <v>36</v>
      </c>
      <c r="DW663" t="s">
        <v>36</v>
      </c>
      <c r="DX663">
        <v>1</v>
      </c>
      <c r="DZ663" t="s">
        <v>3</v>
      </c>
      <c r="EA663" t="s">
        <v>3</v>
      </c>
      <c r="EB663" t="s">
        <v>3</v>
      </c>
      <c r="EC663" t="s">
        <v>3</v>
      </c>
      <c r="EE663">
        <v>1441815344</v>
      </c>
      <c r="EF663">
        <v>1</v>
      </c>
      <c r="EG663" t="s">
        <v>21</v>
      </c>
      <c r="EH663">
        <v>0</v>
      </c>
      <c r="EI663" t="s">
        <v>3</v>
      </c>
      <c r="EJ663">
        <v>4</v>
      </c>
      <c r="EK663">
        <v>0</v>
      </c>
      <c r="EL663" t="s">
        <v>22</v>
      </c>
      <c r="EM663" t="s">
        <v>23</v>
      </c>
      <c r="EO663" t="s">
        <v>232</v>
      </c>
      <c r="EQ663">
        <v>768</v>
      </c>
      <c r="ER663">
        <v>102.45</v>
      </c>
      <c r="ES663">
        <v>1.26</v>
      </c>
      <c r="ET663">
        <v>0</v>
      </c>
      <c r="EU663">
        <v>0</v>
      </c>
      <c r="EV663">
        <v>101.19</v>
      </c>
      <c r="EW663">
        <v>0.18</v>
      </c>
      <c r="EX663">
        <v>0</v>
      </c>
      <c r="EY663">
        <v>0</v>
      </c>
      <c r="FQ663">
        <v>0</v>
      </c>
      <c r="FR663">
        <f>ROUND(IF(BI663=3,GM663,0),2)</f>
        <v>0</v>
      </c>
      <c r="FS663">
        <v>0</v>
      </c>
      <c r="FX663">
        <v>70</v>
      </c>
      <c r="FY663">
        <v>10</v>
      </c>
      <c r="GA663" t="s">
        <v>3</v>
      </c>
      <c r="GD663">
        <v>0</v>
      </c>
      <c r="GF663">
        <v>669367157</v>
      </c>
      <c r="GG663">
        <v>2</v>
      </c>
      <c r="GH663">
        <v>1</v>
      </c>
      <c r="GI663">
        <v>-2</v>
      </c>
      <c r="GJ663">
        <v>0</v>
      </c>
      <c r="GK663">
        <f>ROUND(R663*(R12)/100,2)</f>
        <v>0</v>
      </c>
      <c r="GL663">
        <f>ROUND(IF(AND(BH663=3,BI663=3,FS663&lt;&gt;0),P663,0),2)</f>
        <v>0</v>
      </c>
      <c r="GM663">
        <f>ROUND(O663+X663+Y663+GK663,2)+GX663</f>
        <v>17161.89</v>
      </c>
      <c r="GN663">
        <f>IF(OR(BI663=0,BI663=1),GM663-GX663,0)</f>
        <v>0</v>
      </c>
      <c r="GO663">
        <f>IF(BI663=2,GM663-GX663,0)</f>
        <v>0</v>
      </c>
      <c r="GP663">
        <f>IF(BI663=4,GM663-GX663,0)</f>
        <v>17161.89</v>
      </c>
      <c r="GR663">
        <v>0</v>
      </c>
      <c r="GS663">
        <v>3</v>
      </c>
      <c r="GT663">
        <v>0</v>
      </c>
      <c r="GU663" t="s">
        <v>3</v>
      </c>
      <c r="GV663">
        <f>ROUND((GT663),6)</f>
        <v>0</v>
      </c>
      <c r="GW663">
        <v>1</v>
      </c>
      <c r="GX663">
        <f>ROUND(HC663*I663,2)</f>
        <v>0</v>
      </c>
      <c r="HA663">
        <v>0</v>
      </c>
      <c r="HB663">
        <v>0</v>
      </c>
      <c r="HC663">
        <f>GV663*GW663</f>
        <v>0</v>
      </c>
      <c r="HE663" t="s">
        <v>3</v>
      </c>
      <c r="HF663" t="s">
        <v>3</v>
      </c>
      <c r="HM663" t="s">
        <v>3</v>
      </c>
      <c r="HN663" t="s">
        <v>3</v>
      </c>
      <c r="HO663" t="s">
        <v>3</v>
      </c>
      <c r="HP663" t="s">
        <v>3</v>
      </c>
      <c r="HQ663" t="s">
        <v>3</v>
      </c>
      <c r="IK663">
        <v>0</v>
      </c>
    </row>
    <row r="664" spans="1:245" x14ac:dyDescent="0.2">
      <c r="A664">
        <v>17</v>
      </c>
      <c r="B664">
        <v>1</v>
      </c>
      <c r="D664">
        <f>ROW(EtalonRes!A382)</f>
        <v>382</v>
      </c>
      <c r="E664" t="s">
        <v>383</v>
      </c>
      <c r="F664" t="s">
        <v>234</v>
      </c>
      <c r="G664" t="s">
        <v>472</v>
      </c>
      <c r="H664" t="s">
        <v>36</v>
      </c>
      <c r="I664">
        <f>ROUND(4*10,9)</f>
        <v>40</v>
      </c>
      <c r="J664">
        <v>0</v>
      </c>
      <c r="K664">
        <f>ROUND(4*10,9)</f>
        <v>40</v>
      </c>
      <c r="O664">
        <f>ROUND(CP664,2)</f>
        <v>7041.04</v>
      </c>
      <c r="P664">
        <f>ROUND(CQ664*I664,2)</f>
        <v>25.2</v>
      </c>
      <c r="Q664">
        <f>ROUND(CR664*I664,2)</f>
        <v>0</v>
      </c>
      <c r="R664">
        <f>ROUND(CS664*I664,2)</f>
        <v>0</v>
      </c>
      <c r="S664">
        <f>ROUND(CT664*I664,2)</f>
        <v>7015.84</v>
      </c>
      <c r="T664">
        <f>ROUND(CU664*I664,2)</f>
        <v>0</v>
      </c>
      <c r="U664">
        <f>CV664*I664</f>
        <v>12.48</v>
      </c>
      <c r="V664">
        <f>CW664*I664</f>
        <v>0</v>
      </c>
      <c r="W664">
        <f>ROUND(CX664*I664,2)</f>
        <v>0</v>
      </c>
      <c r="X664">
        <f t="shared" si="605"/>
        <v>4911.09</v>
      </c>
      <c r="Y664">
        <f t="shared" si="605"/>
        <v>701.58</v>
      </c>
      <c r="AA664">
        <v>1471718271</v>
      </c>
      <c r="AB664">
        <f>ROUND((AC664+AD664+AF664),6)</f>
        <v>176.02600000000001</v>
      </c>
      <c r="AC664">
        <f>ROUND((ES664),6)</f>
        <v>0.63</v>
      </c>
      <c r="AD664">
        <f>ROUND((((ET664)-(EU664))+AE664),6)</f>
        <v>0</v>
      </c>
      <c r="AE664">
        <f>ROUND((EU664),6)</f>
        <v>0</v>
      </c>
      <c r="AF664">
        <f>ROUND(((EV664*1.04)),6)</f>
        <v>175.39599999999999</v>
      </c>
      <c r="AG664">
        <f>ROUND((AP664),6)</f>
        <v>0</v>
      </c>
      <c r="AH664">
        <f>((EW664*1.04))</f>
        <v>0.312</v>
      </c>
      <c r="AI664">
        <f>(EX664)</f>
        <v>0</v>
      </c>
      <c r="AJ664">
        <f>(AS664)</f>
        <v>0</v>
      </c>
      <c r="AK664">
        <v>169.28</v>
      </c>
      <c r="AL664">
        <v>0.63</v>
      </c>
      <c r="AM664">
        <v>0</v>
      </c>
      <c r="AN664">
        <v>0</v>
      </c>
      <c r="AO664">
        <v>168.65</v>
      </c>
      <c r="AP664">
        <v>0</v>
      </c>
      <c r="AQ664">
        <v>0.3</v>
      </c>
      <c r="AR664">
        <v>0</v>
      </c>
      <c r="AS664">
        <v>0</v>
      </c>
      <c r="AT664">
        <v>70</v>
      </c>
      <c r="AU664">
        <v>10</v>
      </c>
      <c r="AV664">
        <v>1</v>
      </c>
      <c r="AW664">
        <v>1</v>
      </c>
      <c r="AZ664">
        <v>1</v>
      </c>
      <c r="BA664">
        <v>1</v>
      </c>
      <c r="BB664">
        <v>1</v>
      </c>
      <c r="BC664">
        <v>1</v>
      </c>
      <c r="BD664" t="s">
        <v>3</v>
      </c>
      <c r="BE664" t="s">
        <v>3</v>
      </c>
      <c r="BF664" t="s">
        <v>3</v>
      </c>
      <c r="BG664" t="s">
        <v>3</v>
      </c>
      <c r="BH664">
        <v>0</v>
      </c>
      <c r="BI664">
        <v>4</v>
      </c>
      <c r="BJ664" t="s">
        <v>236</v>
      </c>
      <c r="BM664">
        <v>0</v>
      </c>
      <c r="BN664">
        <v>0</v>
      </c>
      <c r="BO664" t="s">
        <v>3</v>
      </c>
      <c r="BP664">
        <v>0</v>
      </c>
      <c r="BQ664">
        <v>1</v>
      </c>
      <c r="BR664">
        <v>0</v>
      </c>
      <c r="BS664">
        <v>1</v>
      </c>
      <c r="BT664">
        <v>1</v>
      </c>
      <c r="BU664">
        <v>1</v>
      </c>
      <c r="BV664">
        <v>1</v>
      </c>
      <c r="BW664">
        <v>1</v>
      </c>
      <c r="BX664">
        <v>1</v>
      </c>
      <c r="BY664" t="s">
        <v>3</v>
      </c>
      <c r="BZ664">
        <v>70</v>
      </c>
      <c r="CA664">
        <v>10</v>
      </c>
      <c r="CB664" t="s">
        <v>3</v>
      </c>
      <c r="CE664">
        <v>0</v>
      </c>
      <c r="CF664">
        <v>0</v>
      </c>
      <c r="CG664">
        <v>0</v>
      </c>
      <c r="CM664">
        <v>0</v>
      </c>
      <c r="CN664" t="s">
        <v>230</v>
      </c>
      <c r="CO664">
        <v>0</v>
      </c>
      <c r="CP664">
        <f>(P664+Q664+S664)</f>
        <v>7041.04</v>
      </c>
      <c r="CQ664">
        <f>(AC664*BC664*AW664)</f>
        <v>0.63</v>
      </c>
      <c r="CR664">
        <f>((((ET664)*BB664-(EU664)*BS664)+AE664*BS664)*AV664)</f>
        <v>0</v>
      </c>
      <c r="CS664">
        <f>(AE664*BS664*AV664)</f>
        <v>0</v>
      </c>
      <c r="CT664">
        <f>(AF664*BA664*AV664)</f>
        <v>175.39599999999999</v>
      </c>
      <c r="CU664">
        <f>AG664</f>
        <v>0</v>
      </c>
      <c r="CV664">
        <f>(AH664*AV664)</f>
        <v>0.312</v>
      </c>
      <c r="CW664">
        <f t="shared" si="606"/>
        <v>0</v>
      </c>
      <c r="CX664">
        <f t="shared" si="606"/>
        <v>0</v>
      </c>
      <c r="CY664">
        <f>((S664*BZ664)/100)</f>
        <v>4911.0879999999997</v>
      </c>
      <c r="CZ664">
        <f>((S664*CA664)/100)</f>
        <v>701.58399999999995</v>
      </c>
      <c r="DC664" t="s">
        <v>3</v>
      </c>
      <c r="DD664" t="s">
        <v>3</v>
      </c>
      <c r="DE664" t="s">
        <v>3</v>
      </c>
      <c r="DF664" t="s">
        <v>3</v>
      </c>
      <c r="DG664" t="s">
        <v>231</v>
      </c>
      <c r="DH664" t="s">
        <v>3</v>
      </c>
      <c r="DI664" t="s">
        <v>231</v>
      </c>
      <c r="DJ664" t="s">
        <v>3</v>
      </c>
      <c r="DK664" t="s">
        <v>3</v>
      </c>
      <c r="DL664" t="s">
        <v>3</v>
      </c>
      <c r="DM664" t="s">
        <v>3</v>
      </c>
      <c r="DN664">
        <v>0</v>
      </c>
      <c r="DO664">
        <v>0</v>
      </c>
      <c r="DP664">
        <v>1</v>
      </c>
      <c r="DQ664">
        <v>1</v>
      </c>
      <c r="DU664">
        <v>16987630</v>
      </c>
      <c r="DV664" t="s">
        <v>36</v>
      </c>
      <c r="DW664" t="s">
        <v>36</v>
      </c>
      <c r="DX664">
        <v>1</v>
      </c>
      <c r="DZ664" t="s">
        <v>3</v>
      </c>
      <c r="EA664" t="s">
        <v>3</v>
      </c>
      <c r="EB664" t="s">
        <v>3</v>
      </c>
      <c r="EC664" t="s">
        <v>3</v>
      </c>
      <c r="EE664">
        <v>1441815344</v>
      </c>
      <c r="EF664">
        <v>1</v>
      </c>
      <c r="EG664" t="s">
        <v>21</v>
      </c>
      <c r="EH664">
        <v>0</v>
      </c>
      <c r="EI664" t="s">
        <v>3</v>
      </c>
      <c r="EJ664">
        <v>4</v>
      </c>
      <c r="EK664">
        <v>0</v>
      </c>
      <c r="EL664" t="s">
        <v>22</v>
      </c>
      <c r="EM664" t="s">
        <v>23</v>
      </c>
      <c r="EO664" t="s">
        <v>232</v>
      </c>
      <c r="EQ664">
        <v>768</v>
      </c>
      <c r="ER664">
        <v>169.28</v>
      </c>
      <c r="ES664">
        <v>0.63</v>
      </c>
      <c r="ET664">
        <v>0</v>
      </c>
      <c r="EU664">
        <v>0</v>
      </c>
      <c r="EV664">
        <v>168.65</v>
      </c>
      <c r="EW664">
        <v>0.3</v>
      </c>
      <c r="EX664">
        <v>0</v>
      </c>
      <c r="EY664">
        <v>0</v>
      </c>
      <c r="FQ664">
        <v>0</v>
      </c>
      <c r="FR664">
        <f>ROUND(IF(BI664=3,GM664,0),2)</f>
        <v>0</v>
      </c>
      <c r="FS664">
        <v>0</v>
      </c>
      <c r="FX664">
        <v>70</v>
      </c>
      <c r="FY664">
        <v>10</v>
      </c>
      <c r="GA664" t="s">
        <v>3</v>
      </c>
      <c r="GD664">
        <v>0</v>
      </c>
      <c r="GF664">
        <v>2066620846</v>
      </c>
      <c r="GG664">
        <v>2</v>
      </c>
      <c r="GH664">
        <v>1</v>
      </c>
      <c r="GI664">
        <v>-2</v>
      </c>
      <c r="GJ664">
        <v>0</v>
      </c>
      <c r="GK664">
        <f>ROUND(R664*(R12)/100,2)</f>
        <v>0</v>
      </c>
      <c r="GL664">
        <f>ROUND(IF(AND(BH664=3,BI664=3,FS664&lt;&gt;0),P664,0),2)</f>
        <v>0</v>
      </c>
      <c r="GM664">
        <f>ROUND(O664+X664+Y664+GK664,2)+GX664</f>
        <v>12653.71</v>
      </c>
      <c r="GN664">
        <f>IF(OR(BI664=0,BI664=1),GM664-GX664,0)</f>
        <v>0</v>
      </c>
      <c r="GO664">
        <f>IF(BI664=2,GM664-GX664,0)</f>
        <v>0</v>
      </c>
      <c r="GP664">
        <f>IF(BI664=4,GM664-GX664,0)</f>
        <v>12653.71</v>
      </c>
      <c r="GR664">
        <v>0</v>
      </c>
      <c r="GS664">
        <v>3</v>
      </c>
      <c r="GT664">
        <v>0</v>
      </c>
      <c r="GU664" t="s">
        <v>3</v>
      </c>
      <c r="GV664">
        <f>ROUND((GT664),6)</f>
        <v>0</v>
      </c>
      <c r="GW664">
        <v>1</v>
      </c>
      <c r="GX664">
        <f>ROUND(HC664*I664,2)</f>
        <v>0</v>
      </c>
      <c r="HA664">
        <v>0</v>
      </c>
      <c r="HB664">
        <v>0</v>
      </c>
      <c r="HC664">
        <f>GV664*GW664</f>
        <v>0</v>
      </c>
      <c r="HE664" t="s">
        <v>3</v>
      </c>
      <c r="HF664" t="s">
        <v>3</v>
      </c>
      <c r="HM664" t="s">
        <v>3</v>
      </c>
      <c r="HN664" t="s">
        <v>3</v>
      </c>
      <c r="HO664" t="s">
        <v>3</v>
      </c>
      <c r="HP664" t="s">
        <v>3</v>
      </c>
      <c r="HQ664" t="s">
        <v>3</v>
      </c>
      <c r="IK664">
        <v>0</v>
      </c>
    </row>
    <row r="665" spans="1:245" x14ac:dyDescent="0.2">
      <c r="A665">
        <v>19</v>
      </c>
      <c r="B665">
        <v>1</v>
      </c>
      <c r="F665" t="s">
        <v>3</v>
      </c>
      <c r="G665" t="s">
        <v>237</v>
      </c>
      <c r="H665" t="s">
        <v>3</v>
      </c>
      <c r="AA665">
        <v>1</v>
      </c>
      <c r="IK665">
        <v>0</v>
      </c>
    </row>
    <row r="666" spans="1:245" x14ac:dyDescent="0.2">
      <c r="A666">
        <v>17</v>
      </c>
      <c r="B666">
        <v>1</v>
      </c>
      <c r="D666">
        <f>ROW(EtalonRes!A385)</f>
        <v>385</v>
      </c>
      <c r="E666" t="s">
        <v>384</v>
      </c>
      <c r="F666" t="s">
        <v>239</v>
      </c>
      <c r="G666" t="s">
        <v>240</v>
      </c>
      <c r="H666" t="s">
        <v>53</v>
      </c>
      <c r="I666">
        <f>ROUND((10+6)*10/100,9)</f>
        <v>1.6</v>
      </c>
      <c r="J666">
        <v>0</v>
      </c>
      <c r="K666">
        <f>ROUND((10+6)*10/100,9)</f>
        <v>1.6</v>
      </c>
      <c r="O666">
        <f t="shared" ref="O666:O673" si="607">ROUND(CP666,2)</f>
        <v>26399.62</v>
      </c>
      <c r="P666">
        <f t="shared" ref="P666:P673" si="608">ROUND(CQ666*I666,2)</f>
        <v>6.02</v>
      </c>
      <c r="Q666">
        <f t="shared" ref="Q666:Q673" si="609">ROUND(CR666*I666,2)</f>
        <v>5837.5</v>
      </c>
      <c r="R666">
        <f t="shared" ref="R666:R673" si="610">ROUND(CS666*I666,2)</f>
        <v>3701.38</v>
      </c>
      <c r="S666">
        <f t="shared" ref="S666:S673" si="611">ROUND(CT666*I666,2)</f>
        <v>20556.099999999999</v>
      </c>
      <c r="T666">
        <f t="shared" ref="T666:T673" si="612">ROUND(CU666*I666,2)</f>
        <v>0</v>
      </c>
      <c r="U666">
        <f t="shared" ref="U666:U673" si="613">CV666*I666</f>
        <v>38.400000000000006</v>
      </c>
      <c r="V666">
        <f t="shared" ref="V666:V673" si="614">CW666*I666</f>
        <v>0</v>
      </c>
      <c r="W666">
        <f t="shared" ref="W666:W673" si="615">ROUND(CX666*I666,2)</f>
        <v>0</v>
      </c>
      <c r="X666">
        <f t="shared" ref="X666:Y673" si="616">ROUND(CY666,2)</f>
        <v>14389.27</v>
      </c>
      <c r="Y666">
        <f t="shared" si="616"/>
        <v>2055.61</v>
      </c>
      <c r="AA666">
        <v>1471718271</v>
      </c>
      <c r="AB666">
        <f t="shared" ref="AB666:AB673" si="617">ROUND((AC666+AD666+AF666),6)</f>
        <v>16499.759999999998</v>
      </c>
      <c r="AC666">
        <f>ROUND(((ES666*4)),6)</f>
        <v>3.76</v>
      </c>
      <c r="AD666">
        <f>ROUND(((((ET666*4))-((EU666*4)))+AE666),6)</f>
        <v>3648.44</v>
      </c>
      <c r="AE666">
        <f>ROUND(((EU666*4)),6)</f>
        <v>2313.36</v>
      </c>
      <c r="AF666">
        <f>ROUND(((EV666*4)),6)</f>
        <v>12847.56</v>
      </c>
      <c r="AG666">
        <f t="shared" ref="AG666:AG673" si="618">ROUND((AP666),6)</f>
        <v>0</v>
      </c>
      <c r="AH666">
        <f>((EW666*4))</f>
        <v>24</v>
      </c>
      <c r="AI666">
        <f>((EX666*4))</f>
        <v>0</v>
      </c>
      <c r="AJ666">
        <f t="shared" ref="AJ666:AJ673" si="619">(AS666)</f>
        <v>0</v>
      </c>
      <c r="AK666">
        <v>4124.9399999999996</v>
      </c>
      <c r="AL666">
        <v>0.94</v>
      </c>
      <c r="AM666">
        <v>912.11</v>
      </c>
      <c r="AN666">
        <v>578.34</v>
      </c>
      <c r="AO666">
        <v>3211.89</v>
      </c>
      <c r="AP666">
        <v>0</v>
      </c>
      <c r="AQ666">
        <v>6</v>
      </c>
      <c r="AR666">
        <v>0</v>
      </c>
      <c r="AS666">
        <v>0</v>
      </c>
      <c r="AT666">
        <v>70</v>
      </c>
      <c r="AU666">
        <v>10</v>
      </c>
      <c r="AV666">
        <v>1</v>
      </c>
      <c r="AW666">
        <v>1</v>
      </c>
      <c r="AZ666">
        <v>1</v>
      </c>
      <c r="BA666">
        <v>1</v>
      </c>
      <c r="BB666">
        <v>1</v>
      </c>
      <c r="BC666">
        <v>1</v>
      </c>
      <c r="BD666" t="s">
        <v>3</v>
      </c>
      <c r="BE666" t="s">
        <v>3</v>
      </c>
      <c r="BF666" t="s">
        <v>3</v>
      </c>
      <c r="BG666" t="s">
        <v>3</v>
      </c>
      <c r="BH666">
        <v>0</v>
      </c>
      <c r="BI666">
        <v>4</v>
      </c>
      <c r="BJ666" t="s">
        <v>241</v>
      </c>
      <c r="BM666">
        <v>0</v>
      </c>
      <c r="BN666">
        <v>0</v>
      </c>
      <c r="BO666" t="s">
        <v>3</v>
      </c>
      <c r="BP666">
        <v>0</v>
      </c>
      <c r="BQ666">
        <v>1</v>
      </c>
      <c r="BR666">
        <v>0</v>
      </c>
      <c r="BS666">
        <v>1</v>
      </c>
      <c r="BT666">
        <v>1</v>
      </c>
      <c r="BU666">
        <v>1</v>
      </c>
      <c r="BV666">
        <v>1</v>
      </c>
      <c r="BW666">
        <v>1</v>
      </c>
      <c r="BX666">
        <v>1</v>
      </c>
      <c r="BY666" t="s">
        <v>3</v>
      </c>
      <c r="BZ666">
        <v>70</v>
      </c>
      <c r="CA666">
        <v>10</v>
      </c>
      <c r="CB666" t="s">
        <v>3</v>
      </c>
      <c r="CE666">
        <v>0</v>
      </c>
      <c r="CF666">
        <v>0</v>
      </c>
      <c r="CG666">
        <v>0</v>
      </c>
      <c r="CM666">
        <v>0</v>
      </c>
      <c r="CN666" t="s">
        <v>3</v>
      </c>
      <c r="CO666">
        <v>0</v>
      </c>
      <c r="CP666">
        <f t="shared" ref="CP666:CP673" si="620">(P666+Q666+S666)</f>
        <v>26399.62</v>
      </c>
      <c r="CQ666">
        <f t="shared" ref="CQ666:CQ673" si="621">(AC666*BC666*AW666)</f>
        <v>3.76</v>
      </c>
      <c r="CR666">
        <f>(((((ET666*4))*BB666-((EU666*4))*BS666)+AE666*BS666)*AV666)</f>
        <v>3648.44</v>
      </c>
      <c r="CS666">
        <f t="shared" ref="CS666:CS673" si="622">(AE666*BS666*AV666)</f>
        <v>2313.36</v>
      </c>
      <c r="CT666">
        <f t="shared" ref="CT666:CT673" si="623">(AF666*BA666*AV666)</f>
        <v>12847.56</v>
      </c>
      <c r="CU666">
        <f t="shared" ref="CU666:CU673" si="624">AG666</f>
        <v>0</v>
      </c>
      <c r="CV666">
        <f t="shared" ref="CV666:CV673" si="625">(AH666*AV666)</f>
        <v>24</v>
      </c>
      <c r="CW666">
        <f t="shared" ref="CW666:CX673" si="626">AI666</f>
        <v>0</v>
      </c>
      <c r="CX666">
        <f t="shared" si="626"/>
        <v>0</v>
      </c>
      <c r="CY666">
        <f t="shared" ref="CY666:CY673" si="627">((S666*BZ666)/100)</f>
        <v>14389.27</v>
      </c>
      <c r="CZ666">
        <f t="shared" ref="CZ666:CZ673" si="628">((S666*CA666)/100)</f>
        <v>2055.61</v>
      </c>
      <c r="DC666" t="s">
        <v>3</v>
      </c>
      <c r="DD666" t="s">
        <v>20</v>
      </c>
      <c r="DE666" t="s">
        <v>20</v>
      </c>
      <c r="DF666" t="s">
        <v>20</v>
      </c>
      <c r="DG666" t="s">
        <v>20</v>
      </c>
      <c r="DH666" t="s">
        <v>3</v>
      </c>
      <c r="DI666" t="s">
        <v>20</v>
      </c>
      <c r="DJ666" t="s">
        <v>20</v>
      </c>
      <c r="DK666" t="s">
        <v>3</v>
      </c>
      <c r="DL666" t="s">
        <v>3</v>
      </c>
      <c r="DM666" t="s">
        <v>3</v>
      </c>
      <c r="DN666">
        <v>0</v>
      </c>
      <c r="DO666">
        <v>0</v>
      </c>
      <c r="DP666">
        <v>1</v>
      </c>
      <c r="DQ666">
        <v>1</v>
      </c>
      <c r="DU666">
        <v>16987630</v>
      </c>
      <c r="DV666" t="s">
        <v>53</v>
      </c>
      <c r="DW666" t="s">
        <v>53</v>
      </c>
      <c r="DX666">
        <v>100</v>
      </c>
      <c r="DZ666" t="s">
        <v>3</v>
      </c>
      <c r="EA666" t="s">
        <v>3</v>
      </c>
      <c r="EB666" t="s">
        <v>3</v>
      </c>
      <c r="EC666" t="s">
        <v>3</v>
      </c>
      <c r="EE666">
        <v>1441815344</v>
      </c>
      <c r="EF666">
        <v>1</v>
      </c>
      <c r="EG666" t="s">
        <v>21</v>
      </c>
      <c r="EH666">
        <v>0</v>
      </c>
      <c r="EI666" t="s">
        <v>3</v>
      </c>
      <c r="EJ666">
        <v>4</v>
      </c>
      <c r="EK666">
        <v>0</v>
      </c>
      <c r="EL666" t="s">
        <v>22</v>
      </c>
      <c r="EM666" t="s">
        <v>23</v>
      </c>
      <c r="EO666" t="s">
        <v>3</v>
      </c>
      <c r="EQ666">
        <v>0</v>
      </c>
      <c r="ER666">
        <v>4124.9399999999996</v>
      </c>
      <c r="ES666">
        <v>0.94</v>
      </c>
      <c r="ET666">
        <v>912.11</v>
      </c>
      <c r="EU666">
        <v>578.34</v>
      </c>
      <c r="EV666">
        <v>3211.89</v>
      </c>
      <c r="EW666">
        <v>6</v>
      </c>
      <c r="EX666">
        <v>0</v>
      </c>
      <c r="EY666">
        <v>0</v>
      </c>
      <c r="FQ666">
        <v>0</v>
      </c>
      <c r="FR666">
        <f t="shared" ref="FR666:FR673" si="629">ROUND(IF(BI666=3,GM666,0),2)</f>
        <v>0</v>
      </c>
      <c r="FS666">
        <v>0</v>
      </c>
      <c r="FX666">
        <v>70</v>
      </c>
      <c r="FY666">
        <v>10</v>
      </c>
      <c r="GA666" t="s">
        <v>3</v>
      </c>
      <c r="GD666">
        <v>0</v>
      </c>
      <c r="GF666">
        <v>-619298933</v>
      </c>
      <c r="GG666">
        <v>2</v>
      </c>
      <c r="GH666">
        <v>1</v>
      </c>
      <c r="GI666">
        <v>-2</v>
      </c>
      <c r="GJ666">
        <v>0</v>
      </c>
      <c r="GK666">
        <f>ROUND(R666*(R12)/100,2)</f>
        <v>3997.49</v>
      </c>
      <c r="GL666">
        <f t="shared" ref="GL666:GL673" si="630">ROUND(IF(AND(BH666=3,BI666=3,FS666&lt;&gt;0),P666,0),2)</f>
        <v>0</v>
      </c>
      <c r="GM666">
        <f t="shared" ref="GM666:GM673" si="631">ROUND(O666+X666+Y666+GK666,2)+GX666</f>
        <v>46841.99</v>
      </c>
      <c r="GN666">
        <f t="shared" ref="GN666:GN673" si="632">IF(OR(BI666=0,BI666=1),GM666-GX666,0)</f>
        <v>0</v>
      </c>
      <c r="GO666">
        <f t="shared" ref="GO666:GO673" si="633">IF(BI666=2,GM666-GX666,0)</f>
        <v>0</v>
      </c>
      <c r="GP666">
        <f t="shared" ref="GP666:GP673" si="634">IF(BI666=4,GM666-GX666,0)</f>
        <v>46841.99</v>
      </c>
      <c r="GR666">
        <v>0</v>
      </c>
      <c r="GS666">
        <v>3</v>
      </c>
      <c r="GT666">
        <v>0</v>
      </c>
      <c r="GU666" t="s">
        <v>3</v>
      </c>
      <c r="GV666">
        <f t="shared" ref="GV666:GV673" si="635">ROUND((GT666),6)</f>
        <v>0</v>
      </c>
      <c r="GW666">
        <v>1</v>
      </c>
      <c r="GX666">
        <f t="shared" ref="GX666:GX673" si="636">ROUND(HC666*I666,2)</f>
        <v>0</v>
      </c>
      <c r="HA666">
        <v>0</v>
      </c>
      <c r="HB666">
        <v>0</v>
      </c>
      <c r="HC666">
        <f t="shared" ref="HC666:HC673" si="637">GV666*GW666</f>
        <v>0</v>
      </c>
      <c r="HE666" t="s">
        <v>3</v>
      </c>
      <c r="HF666" t="s">
        <v>3</v>
      </c>
      <c r="HM666" t="s">
        <v>3</v>
      </c>
      <c r="HN666" t="s">
        <v>3</v>
      </c>
      <c r="HO666" t="s">
        <v>3</v>
      </c>
      <c r="HP666" t="s">
        <v>3</v>
      </c>
      <c r="HQ666" t="s">
        <v>3</v>
      </c>
      <c r="IK666">
        <v>0</v>
      </c>
    </row>
    <row r="667" spans="1:245" x14ac:dyDescent="0.2">
      <c r="A667">
        <v>17</v>
      </c>
      <c r="B667">
        <v>1</v>
      </c>
      <c r="D667">
        <f>ROW(EtalonRes!A387)</f>
        <v>387</v>
      </c>
      <c r="E667" t="s">
        <v>3</v>
      </c>
      <c r="F667" t="s">
        <v>242</v>
      </c>
      <c r="G667" t="s">
        <v>243</v>
      </c>
      <c r="H667" t="s">
        <v>31</v>
      </c>
      <c r="I667">
        <f>ROUND((7+30)*10/10,9)</f>
        <v>37</v>
      </c>
      <c r="J667">
        <v>0</v>
      </c>
      <c r="K667">
        <f>ROUND((7+30)*10/10,9)</f>
        <v>37</v>
      </c>
      <c r="O667">
        <f t="shared" si="607"/>
        <v>9372.1</v>
      </c>
      <c r="P667">
        <f t="shared" si="608"/>
        <v>233.1</v>
      </c>
      <c r="Q667">
        <f t="shared" si="609"/>
        <v>0</v>
      </c>
      <c r="R667">
        <f t="shared" si="610"/>
        <v>0</v>
      </c>
      <c r="S667">
        <f t="shared" si="611"/>
        <v>9139</v>
      </c>
      <c r="T667">
        <f t="shared" si="612"/>
        <v>0</v>
      </c>
      <c r="U667">
        <f t="shared" si="613"/>
        <v>14.8</v>
      </c>
      <c r="V667">
        <f t="shared" si="614"/>
        <v>0</v>
      </c>
      <c r="W667">
        <f t="shared" si="615"/>
        <v>0</v>
      </c>
      <c r="X667">
        <f t="shared" si="616"/>
        <v>6397.3</v>
      </c>
      <c r="Y667">
        <f t="shared" si="616"/>
        <v>913.9</v>
      </c>
      <c r="AA667">
        <v>-1</v>
      </c>
      <c r="AB667">
        <f t="shared" si="617"/>
        <v>253.3</v>
      </c>
      <c r="AC667">
        <f>ROUND((ES667),6)</f>
        <v>6.3</v>
      </c>
      <c r="AD667">
        <f>ROUND((((ET667)-(EU667))+AE667),6)</f>
        <v>0</v>
      </c>
      <c r="AE667">
        <f>ROUND((EU667),6)</f>
        <v>0</v>
      </c>
      <c r="AF667">
        <f>ROUND((EV667),6)</f>
        <v>247</v>
      </c>
      <c r="AG667">
        <f t="shared" si="618"/>
        <v>0</v>
      </c>
      <c r="AH667">
        <f>(EW667)</f>
        <v>0.4</v>
      </c>
      <c r="AI667">
        <f>(EX667)</f>
        <v>0</v>
      </c>
      <c r="AJ667">
        <f t="shared" si="619"/>
        <v>0</v>
      </c>
      <c r="AK667">
        <v>253.3</v>
      </c>
      <c r="AL667">
        <v>6.3</v>
      </c>
      <c r="AM667">
        <v>0</v>
      </c>
      <c r="AN667">
        <v>0</v>
      </c>
      <c r="AO667">
        <v>247</v>
      </c>
      <c r="AP667">
        <v>0</v>
      </c>
      <c r="AQ667">
        <v>0.4</v>
      </c>
      <c r="AR667">
        <v>0</v>
      </c>
      <c r="AS667">
        <v>0</v>
      </c>
      <c r="AT667">
        <v>70</v>
      </c>
      <c r="AU667">
        <v>10</v>
      </c>
      <c r="AV667">
        <v>1</v>
      </c>
      <c r="AW667">
        <v>1</v>
      </c>
      <c r="AZ667">
        <v>1</v>
      </c>
      <c r="BA667">
        <v>1</v>
      </c>
      <c r="BB667">
        <v>1</v>
      </c>
      <c r="BC667">
        <v>1</v>
      </c>
      <c r="BD667" t="s">
        <v>3</v>
      </c>
      <c r="BE667" t="s">
        <v>3</v>
      </c>
      <c r="BF667" t="s">
        <v>3</v>
      </c>
      <c r="BG667" t="s">
        <v>3</v>
      </c>
      <c r="BH667">
        <v>0</v>
      </c>
      <c r="BI667">
        <v>4</v>
      </c>
      <c r="BJ667" t="s">
        <v>244</v>
      </c>
      <c r="BM667">
        <v>0</v>
      </c>
      <c r="BN667">
        <v>0</v>
      </c>
      <c r="BO667" t="s">
        <v>3</v>
      </c>
      <c r="BP667">
        <v>0</v>
      </c>
      <c r="BQ667">
        <v>1</v>
      </c>
      <c r="BR667">
        <v>0</v>
      </c>
      <c r="BS667">
        <v>1</v>
      </c>
      <c r="BT667">
        <v>1</v>
      </c>
      <c r="BU667">
        <v>1</v>
      </c>
      <c r="BV667">
        <v>1</v>
      </c>
      <c r="BW667">
        <v>1</v>
      </c>
      <c r="BX667">
        <v>1</v>
      </c>
      <c r="BY667" t="s">
        <v>3</v>
      </c>
      <c r="BZ667">
        <v>70</v>
      </c>
      <c r="CA667">
        <v>10</v>
      </c>
      <c r="CB667" t="s">
        <v>3</v>
      </c>
      <c r="CE667">
        <v>0</v>
      </c>
      <c r="CF667">
        <v>0</v>
      </c>
      <c r="CG667">
        <v>0</v>
      </c>
      <c r="CM667">
        <v>0</v>
      </c>
      <c r="CN667" t="s">
        <v>3</v>
      </c>
      <c r="CO667">
        <v>0</v>
      </c>
      <c r="CP667">
        <f t="shared" si="620"/>
        <v>9372.1</v>
      </c>
      <c r="CQ667">
        <f t="shared" si="621"/>
        <v>6.3</v>
      </c>
      <c r="CR667">
        <f>((((ET667)*BB667-(EU667)*BS667)+AE667*BS667)*AV667)</f>
        <v>0</v>
      </c>
      <c r="CS667">
        <f t="shared" si="622"/>
        <v>0</v>
      </c>
      <c r="CT667">
        <f t="shared" si="623"/>
        <v>247</v>
      </c>
      <c r="CU667">
        <f t="shared" si="624"/>
        <v>0</v>
      </c>
      <c r="CV667">
        <f t="shared" si="625"/>
        <v>0.4</v>
      </c>
      <c r="CW667">
        <f t="shared" si="626"/>
        <v>0</v>
      </c>
      <c r="CX667">
        <f t="shared" si="626"/>
        <v>0</v>
      </c>
      <c r="CY667">
        <f t="shared" si="627"/>
        <v>6397.3</v>
      </c>
      <c r="CZ667">
        <f t="shared" si="628"/>
        <v>913.9</v>
      </c>
      <c r="DC667" t="s">
        <v>3</v>
      </c>
      <c r="DD667" t="s">
        <v>3</v>
      </c>
      <c r="DE667" t="s">
        <v>3</v>
      </c>
      <c r="DF667" t="s">
        <v>3</v>
      </c>
      <c r="DG667" t="s">
        <v>3</v>
      </c>
      <c r="DH667" t="s">
        <v>3</v>
      </c>
      <c r="DI667" t="s">
        <v>3</v>
      </c>
      <c r="DJ667" t="s">
        <v>3</v>
      </c>
      <c r="DK667" t="s">
        <v>3</v>
      </c>
      <c r="DL667" t="s">
        <v>3</v>
      </c>
      <c r="DM667" t="s">
        <v>3</v>
      </c>
      <c r="DN667">
        <v>0</v>
      </c>
      <c r="DO667">
        <v>0</v>
      </c>
      <c r="DP667">
        <v>1</v>
      </c>
      <c r="DQ667">
        <v>1</v>
      </c>
      <c r="DU667">
        <v>16987630</v>
      </c>
      <c r="DV667" t="s">
        <v>31</v>
      </c>
      <c r="DW667" t="s">
        <v>31</v>
      </c>
      <c r="DX667">
        <v>10</v>
      </c>
      <c r="DZ667" t="s">
        <v>3</v>
      </c>
      <c r="EA667" t="s">
        <v>3</v>
      </c>
      <c r="EB667" t="s">
        <v>3</v>
      </c>
      <c r="EC667" t="s">
        <v>3</v>
      </c>
      <c r="EE667">
        <v>1441815344</v>
      </c>
      <c r="EF667">
        <v>1</v>
      </c>
      <c r="EG667" t="s">
        <v>21</v>
      </c>
      <c r="EH667">
        <v>0</v>
      </c>
      <c r="EI667" t="s">
        <v>3</v>
      </c>
      <c r="EJ667">
        <v>4</v>
      </c>
      <c r="EK667">
        <v>0</v>
      </c>
      <c r="EL667" t="s">
        <v>22</v>
      </c>
      <c r="EM667" t="s">
        <v>23</v>
      </c>
      <c r="EO667" t="s">
        <v>3</v>
      </c>
      <c r="EQ667">
        <v>1024</v>
      </c>
      <c r="ER667">
        <v>253.3</v>
      </c>
      <c r="ES667">
        <v>6.3</v>
      </c>
      <c r="ET667">
        <v>0</v>
      </c>
      <c r="EU667">
        <v>0</v>
      </c>
      <c r="EV667">
        <v>247</v>
      </c>
      <c r="EW667">
        <v>0.4</v>
      </c>
      <c r="EX667">
        <v>0</v>
      </c>
      <c r="EY667">
        <v>0</v>
      </c>
      <c r="FQ667">
        <v>0</v>
      </c>
      <c r="FR667">
        <f t="shared" si="629"/>
        <v>0</v>
      </c>
      <c r="FS667">
        <v>0</v>
      </c>
      <c r="FX667">
        <v>70</v>
      </c>
      <c r="FY667">
        <v>10</v>
      </c>
      <c r="GA667" t="s">
        <v>3</v>
      </c>
      <c r="GD667">
        <v>0</v>
      </c>
      <c r="GF667">
        <v>526043079</v>
      </c>
      <c r="GG667">
        <v>2</v>
      </c>
      <c r="GH667">
        <v>1</v>
      </c>
      <c r="GI667">
        <v>-2</v>
      </c>
      <c r="GJ667">
        <v>0</v>
      </c>
      <c r="GK667">
        <f>ROUND(R667*(R12)/100,2)</f>
        <v>0</v>
      </c>
      <c r="GL667">
        <f t="shared" si="630"/>
        <v>0</v>
      </c>
      <c r="GM667">
        <f t="shared" si="631"/>
        <v>16683.3</v>
      </c>
      <c r="GN667">
        <f t="shared" si="632"/>
        <v>0</v>
      </c>
      <c r="GO667">
        <f t="shared" si="633"/>
        <v>0</v>
      </c>
      <c r="GP667">
        <f t="shared" si="634"/>
        <v>16683.3</v>
      </c>
      <c r="GR667">
        <v>0</v>
      </c>
      <c r="GS667">
        <v>3</v>
      </c>
      <c r="GT667">
        <v>0</v>
      </c>
      <c r="GU667" t="s">
        <v>3</v>
      </c>
      <c r="GV667">
        <f t="shared" si="635"/>
        <v>0</v>
      </c>
      <c r="GW667">
        <v>1</v>
      </c>
      <c r="GX667">
        <f t="shared" si="636"/>
        <v>0</v>
      </c>
      <c r="HA667">
        <v>0</v>
      </c>
      <c r="HB667">
        <v>0</v>
      </c>
      <c r="HC667">
        <f t="shared" si="637"/>
        <v>0</v>
      </c>
      <c r="HE667" t="s">
        <v>3</v>
      </c>
      <c r="HF667" t="s">
        <v>3</v>
      </c>
      <c r="HM667" t="s">
        <v>3</v>
      </c>
      <c r="HN667" t="s">
        <v>3</v>
      </c>
      <c r="HO667" t="s">
        <v>3</v>
      </c>
      <c r="HP667" t="s">
        <v>3</v>
      </c>
      <c r="HQ667" t="s">
        <v>3</v>
      </c>
      <c r="IK667">
        <v>0</v>
      </c>
    </row>
    <row r="668" spans="1:245" x14ac:dyDescent="0.2">
      <c r="A668">
        <v>17</v>
      </c>
      <c r="B668">
        <v>1</v>
      </c>
      <c r="D668">
        <f>ROW(EtalonRes!A389)</f>
        <v>389</v>
      </c>
      <c r="E668" t="s">
        <v>385</v>
      </c>
      <c r="F668" t="s">
        <v>246</v>
      </c>
      <c r="G668" t="s">
        <v>247</v>
      </c>
      <c r="H668" t="s">
        <v>31</v>
      </c>
      <c r="I668">
        <f>ROUND((7+30)*10/10,9)</f>
        <v>37</v>
      </c>
      <c r="J668">
        <v>0</v>
      </c>
      <c r="K668">
        <f>ROUND((7+30)*10/10,9)</f>
        <v>37</v>
      </c>
      <c r="O668">
        <f t="shared" si="607"/>
        <v>4345.6499999999996</v>
      </c>
      <c r="P668">
        <f t="shared" si="608"/>
        <v>233.1</v>
      </c>
      <c r="Q668">
        <f t="shared" si="609"/>
        <v>0</v>
      </c>
      <c r="R668">
        <f t="shared" si="610"/>
        <v>0</v>
      </c>
      <c r="S668">
        <f t="shared" si="611"/>
        <v>4112.55</v>
      </c>
      <c r="T668">
        <f t="shared" si="612"/>
        <v>0</v>
      </c>
      <c r="U668">
        <f t="shared" si="613"/>
        <v>6.66</v>
      </c>
      <c r="V668">
        <f t="shared" si="614"/>
        <v>0</v>
      </c>
      <c r="W668">
        <f t="shared" si="615"/>
        <v>0</v>
      </c>
      <c r="X668">
        <f t="shared" si="616"/>
        <v>2878.79</v>
      </c>
      <c r="Y668">
        <f t="shared" si="616"/>
        <v>411.26</v>
      </c>
      <c r="AA668">
        <v>1471718271</v>
      </c>
      <c r="AB668">
        <f t="shared" si="617"/>
        <v>117.45</v>
      </c>
      <c r="AC668">
        <f>ROUND((ES668),6)</f>
        <v>6.3</v>
      </c>
      <c r="AD668">
        <f>ROUND((((ET668)-(EU668))+AE668),6)</f>
        <v>0</v>
      </c>
      <c r="AE668">
        <f>ROUND((EU668),6)</f>
        <v>0</v>
      </c>
      <c r="AF668">
        <f>ROUND((EV668),6)</f>
        <v>111.15</v>
      </c>
      <c r="AG668">
        <f t="shared" si="618"/>
        <v>0</v>
      </c>
      <c r="AH668">
        <f>(EW668)</f>
        <v>0.18</v>
      </c>
      <c r="AI668">
        <f>(EX668)</f>
        <v>0</v>
      </c>
      <c r="AJ668">
        <f t="shared" si="619"/>
        <v>0</v>
      </c>
      <c r="AK668">
        <v>117.45</v>
      </c>
      <c r="AL668">
        <v>6.3</v>
      </c>
      <c r="AM668">
        <v>0</v>
      </c>
      <c r="AN668">
        <v>0</v>
      </c>
      <c r="AO668">
        <v>111.15</v>
      </c>
      <c r="AP668">
        <v>0</v>
      </c>
      <c r="AQ668">
        <v>0.18</v>
      </c>
      <c r="AR668">
        <v>0</v>
      </c>
      <c r="AS668">
        <v>0</v>
      </c>
      <c r="AT668">
        <v>70</v>
      </c>
      <c r="AU668">
        <v>10</v>
      </c>
      <c r="AV668">
        <v>1</v>
      </c>
      <c r="AW668">
        <v>1</v>
      </c>
      <c r="AZ668">
        <v>1</v>
      </c>
      <c r="BA668">
        <v>1</v>
      </c>
      <c r="BB668">
        <v>1</v>
      </c>
      <c r="BC668">
        <v>1</v>
      </c>
      <c r="BD668" t="s">
        <v>3</v>
      </c>
      <c r="BE668" t="s">
        <v>3</v>
      </c>
      <c r="BF668" t="s">
        <v>3</v>
      </c>
      <c r="BG668" t="s">
        <v>3</v>
      </c>
      <c r="BH668">
        <v>0</v>
      </c>
      <c r="BI668">
        <v>4</v>
      </c>
      <c r="BJ668" t="s">
        <v>248</v>
      </c>
      <c r="BM668">
        <v>0</v>
      </c>
      <c r="BN668">
        <v>0</v>
      </c>
      <c r="BO668" t="s">
        <v>3</v>
      </c>
      <c r="BP668">
        <v>0</v>
      </c>
      <c r="BQ668">
        <v>1</v>
      </c>
      <c r="BR668">
        <v>0</v>
      </c>
      <c r="BS668">
        <v>1</v>
      </c>
      <c r="BT668">
        <v>1</v>
      </c>
      <c r="BU668">
        <v>1</v>
      </c>
      <c r="BV668">
        <v>1</v>
      </c>
      <c r="BW668">
        <v>1</v>
      </c>
      <c r="BX668">
        <v>1</v>
      </c>
      <c r="BY668" t="s">
        <v>3</v>
      </c>
      <c r="BZ668">
        <v>70</v>
      </c>
      <c r="CA668">
        <v>10</v>
      </c>
      <c r="CB668" t="s">
        <v>3</v>
      </c>
      <c r="CE668">
        <v>0</v>
      </c>
      <c r="CF668">
        <v>0</v>
      </c>
      <c r="CG668">
        <v>0</v>
      </c>
      <c r="CM668">
        <v>0</v>
      </c>
      <c r="CN668" t="s">
        <v>3</v>
      </c>
      <c r="CO668">
        <v>0</v>
      </c>
      <c r="CP668">
        <f t="shared" si="620"/>
        <v>4345.6500000000005</v>
      </c>
      <c r="CQ668">
        <f t="shared" si="621"/>
        <v>6.3</v>
      </c>
      <c r="CR668">
        <f>((((ET668)*BB668-(EU668)*BS668)+AE668*BS668)*AV668)</f>
        <v>0</v>
      </c>
      <c r="CS668">
        <f t="shared" si="622"/>
        <v>0</v>
      </c>
      <c r="CT668">
        <f t="shared" si="623"/>
        <v>111.15</v>
      </c>
      <c r="CU668">
        <f t="shared" si="624"/>
        <v>0</v>
      </c>
      <c r="CV668">
        <f t="shared" si="625"/>
        <v>0.18</v>
      </c>
      <c r="CW668">
        <f t="shared" si="626"/>
        <v>0</v>
      </c>
      <c r="CX668">
        <f t="shared" si="626"/>
        <v>0</v>
      </c>
      <c r="CY668">
        <f t="shared" si="627"/>
        <v>2878.7849999999999</v>
      </c>
      <c r="CZ668">
        <f t="shared" si="628"/>
        <v>411.255</v>
      </c>
      <c r="DC668" t="s">
        <v>3</v>
      </c>
      <c r="DD668" t="s">
        <v>3</v>
      </c>
      <c r="DE668" t="s">
        <v>3</v>
      </c>
      <c r="DF668" t="s">
        <v>3</v>
      </c>
      <c r="DG668" t="s">
        <v>3</v>
      </c>
      <c r="DH668" t="s">
        <v>3</v>
      </c>
      <c r="DI668" t="s">
        <v>3</v>
      </c>
      <c r="DJ668" t="s">
        <v>3</v>
      </c>
      <c r="DK668" t="s">
        <v>3</v>
      </c>
      <c r="DL668" t="s">
        <v>3</v>
      </c>
      <c r="DM668" t="s">
        <v>3</v>
      </c>
      <c r="DN668">
        <v>0</v>
      </c>
      <c r="DO668">
        <v>0</v>
      </c>
      <c r="DP668">
        <v>1</v>
      </c>
      <c r="DQ668">
        <v>1</v>
      </c>
      <c r="DU668">
        <v>16987630</v>
      </c>
      <c r="DV668" t="s">
        <v>31</v>
      </c>
      <c r="DW668" t="s">
        <v>31</v>
      </c>
      <c r="DX668">
        <v>10</v>
      </c>
      <c r="DZ668" t="s">
        <v>3</v>
      </c>
      <c r="EA668" t="s">
        <v>3</v>
      </c>
      <c r="EB668" t="s">
        <v>3</v>
      </c>
      <c r="EC668" t="s">
        <v>3</v>
      </c>
      <c r="EE668">
        <v>1441815344</v>
      </c>
      <c r="EF668">
        <v>1</v>
      </c>
      <c r="EG668" t="s">
        <v>21</v>
      </c>
      <c r="EH668">
        <v>0</v>
      </c>
      <c r="EI668" t="s">
        <v>3</v>
      </c>
      <c r="EJ668">
        <v>4</v>
      </c>
      <c r="EK668">
        <v>0</v>
      </c>
      <c r="EL668" t="s">
        <v>22</v>
      </c>
      <c r="EM668" t="s">
        <v>23</v>
      </c>
      <c r="EO668" t="s">
        <v>3</v>
      </c>
      <c r="EQ668">
        <v>0</v>
      </c>
      <c r="ER668">
        <v>117.45</v>
      </c>
      <c r="ES668">
        <v>6.3</v>
      </c>
      <c r="ET668">
        <v>0</v>
      </c>
      <c r="EU668">
        <v>0</v>
      </c>
      <c r="EV668">
        <v>111.15</v>
      </c>
      <c r="EW668">
        <v>0.18</v>
      </c>
      <c r="EX668">
        <v>0</v>
      </c>
      <c r="EY668">
        <v>0</v>
      </c>
      <c r="FQ668">
        <v>0</v>
      </c>
      <c r="FR668">
        <f t="shared" si="629"/>
        <v>0</v>
      </c>
      <c r="FS668">
        <v>0</v>
      </c>
      <c r="FX668">
        <v>70</v>
      </c>
      <c r="FY668">
        <v>10</v>
      </c>
      <c r="GA668" t="s">
        <v>3</v>
      </c>
      <c r="GD668">
        <v>0</v>
      </c>
      <c r="GF668">
        <v>1310870617</v>
      </c>
      <c r="GG668">
        <v>2</v>
      </c>
      <c r="GH668">
        <v>1</v>
      </c>
      <c r="GI668">
        <v>-2</v>
      </c>
      <c r="GJ668">
        <v>0</v>
      </c>
      <c r="GK668">
        <f>ROUND(R668*(R12)/100,2)</f>
        <v>0</v>
      </c>
      <c r="GL668">
        <f t="shared" si="630"/>
        <v>0</v>
      </c>
      <c r="GM668">
        <f t="shared" si="631"/>
        <v>7635.7</v>
      </c>
      <c r="GN668">
        <f t="shared" si="632"/>
        <v>0</v>
      </c>
      <c r="GO668">
        <f t="shared" si="633"/>
        <v>0</v>
      </c>
      <c r="GP668">
        <f t="shared" si="634"/>
        <v>7635.7</v>
      </c>
      <c r="GR668">
        <v>0</v>
      </c>
      <c r="GS668">
        <v>3</v>
      </c>
      <c r="GT668">
        <v>0</v>
      </c>
      <c r="GU668" t="s">
        <v>3</v>
      </c>
      <c r="GV668">
        <f t="shared" si="635"/>
        <v>0</v>
      </c>
      <c r="GW668">
        <v>1</v>
      </c>
      <c r="GX668">
        <f t="shared" si="636"/>
        <v>0</v>
      </c>
      <c r="HA668">
        <v>0</v>
      </c>
      <c r="HB668">
        <v>0</v>
      </c>
      <c r="HC668">
        <f t="shared" si="637"/>
        <v>0</v>
      </c>
      <c r="HE668" t="s">
        <v>3</v>
      </c>
      <c r="HF668" t="s">
        <v>3</v>
      </c>
      <c r="HM668" t="s">
        <v>3</v>
      </c>
      <c r="HN668" t="s">
        <v>3</v>
      </c>
      <c r="HO668" t="s">
        <v>3</v>
      </c>
      <c r="HP668" t="s">
        <v>3</v>
      </c>
      <c r="HQ668" t="s">
        <v>3</v>
      </c>
      <c r="IK668">
        <v>0</v>
      </c>
    </row>
    <row r="669" spans="1:245" x14ac:dyDescent="0.2">
      <c r="A669">
        <v>17</v>
      </c>
      <c r="B669">
        <v>1</v>
      </c>
      <c r="D669">
        <f>ROW(EtalonRes!A390)</f>
        <v>390</v>
      </c>
      <c r="E669" t="s">
        <v>3</v>
      </c>
      <c r="F669" t="s">
        <v>249</v>
      </c>
      <c r="G669" t="s">
        <v>250</v>
      </c>
      <c r="H669" t="s">
        <v>53</v>
      </c>
      <c r="I669">
        <f>ROUND((7+30)*10/100,9)</f>
        <v>3.7</v>
      </c>
      <c r="J669">
        <v>0</v>
      </c>
      <c r="K669">
        <f>ROUND((7+30)*10/100,9)</f>
        <v>3.7</v>
      </c>
      <c r="O669">
        <f t="shared" si="607"/>
        <v>1350.2</v>
      </c>
      <c r="P669">
        <f t="shared" si="608"/>
        <v>0</v>
      </c>
      <c r="Q669">
        <f t="shared" si="609"/>
        <v>0</v>
      </c>
      <c r="R669">
        <f t="shared" si="610"/>
        <v>0</v>
      </c>
      <c r="S669">
        <f t="shared" si="611"/>
        <v>1350.2</v>
      </c>
      <c r="T669">
        <f t="shared" si="612"/>
        <v>0</v>
      </c>
      <c r="U669">
        <f t="shared" si="613"/>
        <v>2.6640000000000001</v>
      </c>
      <c r="V669">
        <f t="shared" si="614"/>
        <v>0</v>
      </c>
      <c r="W669">
        <f t="shared" si="615"/>
        <v>0</v>
      </c>
      <c r="X669">
        <f t="shared" si="616"/>
        <v>945.14</v>
      </c>
      <c r="Y669">
        <f t="shared" si="616"/>
        <v>135.02000000000001</v>
      </c>
      <c r="AA669">
        <v>-1</v>
      </c>
      <c r="AB669">
        <f t="shared" si="617"/>
        <v>364.92</v>
      </c>
      <c r="AC669">
        <f>ROUND(((ES669*3)),6)</f>
        <v>0</v>
      </c>
      <c r="AD669">
        <f>ROUND(((((ET669*3))-((EU669*3)))+AE669),6)</f>
        <v>0</v>
      </c>
      <c r="AE669">
        <f>ROUND(((EU669*3)),6)</f>
        <v>0</v>
      </c>
      <c r="AF669">
        <f>ROUND(((EV669*3)),6)</f>
        <v>364.92</v>
      </c>
      <c r="AG669">
        <f t="shared" si="618"/>
        <v>0</v>
      </c>
      <c r="AH669">
        <f>((EW669*3))</f>
        <v>0.72</v>
      </c>
      <c r="AI669">
        <f>((EX669*3))</f>
        <v>0</v>
      </c>
      <c r="AJ669">
        <f t="shared" si="619"/>
        <v>0</v>
      </c>
      <c r="AK669">
        <v>121.64</v>
      </c>
      <c r="AL669">
        <v>0</v>
      </c>
      <c r="AM669">
        <v>0</v>
      </c>
      <c r="AN669">
        <v>0</v>
      </c>
      <c r="AO669">
        <v>121.64</v>
      </c>
      <c r="AP669">
        <v>0</v>
      </c>
      <c r="AQ669">
        <v>0.24</v>
      </c>
      <c r="AR669">
        <v>0</v>
      </c>
      <c r="AS669">
        <v>0</v>
      </c>
      <c r="AT669">
        <v>70</v>
      </c>
      <c r="AU669">
        <v>10</v>
      </c>
      <c r="AV669">
        <v>1</v>
      </c>
      <c r="AW669">
        <v>1</v>
      </c>
      <c r="AZ669">
        <v>1</v>
      </c>
      <c r="BA669">
        <v>1</v>
      </c>
      <c r="BB669">
        <v>1</v>
      </c>
      <c r="BC669">
        <v>1</v>
      </c>
      <c r="BD669" t="s">
        <v>3</v>
      </c>
      <c r="BE669" t="s">
        <v>3</v>
      </c>
      <c r="BF669" t="s">
        <v>3</v>
      </c>
      <c r="BG669" t="s">
        <v>3</v>
      </c>
      <c r="BH669">
        <v>0</v>
      </c>
      <c r="BI669">
        <v>4</v>
      </c>
      <c r="BJ669" t="s">
        <v>251</v>
      </c>
      <c r="BM669">
        <v>0</v>
      </c>
      <c r="BN669">
        <v>0</v>
      </c>
      <c r="BO669" t="s">
        <v>3</v>
      </c>
      <c r="BP669">
        <v>0</v>
      </c>
      <c r="BQ669">
        <v>1</v>
      </c>
      <c r="BR669">
        <v>0</v>
      </c>
      <c r="BS669">
        <v>1</v>
      </c>
      <c r="BT669">
        <v>1</v>
      </c>
      <c r="BU669">
        <v>1</v>
      </c>
      <c r="BV669">
        <v>1</v>
      </c>
      <c r="BW669">
        <v>1</v>
      </c>
      <c r="BX669">
        <v>1</v>
      </c>
      <c r="BY669" t="s">
        <v>3</v>
      </c>
      <c r="BZ669">
        <v>70</v>
      </c>
      <c r="CA669">
        <v>10</v>
      </c>
      <c r="CB669" t="s">
        <v>3</v>
      </c>
      <c r="CE669">
        <v>0</v>
      </c>
      <c r="CF669">
        <v>0</v>
      </c>
      <c r="CG669">
        <v>0</v>
      </c>
      <c r="CM669">
        <v>0</v>
      </c>
      <c r="CN669" t="s">
        <v>3</v>
      </c>
      <c r="CO669">
        <v>0</v>
      </c>
      <c r="CP669">
        <f t="shared" si="620"/>
        <v>1350.2</v>
      </c>
      <c r="CQ669">
        <f t="shared" si="621"/>
        <v>0</v>
      </c>
      <c r="CR669">
        <f>(((((ET669*3))*BB669-((EU669*3))*BS669)+AE669*BS669)*AV669)</f>
        <v>0</v>
      </c>
      <c r="CS669">
        <f t="shared" si="622"/>
        <v>0</v>
      </c>
      <c r="CT669">
        <f t="shared" si="623"/>
        <v>364.92</v>
      </c>
      <c r="CU669">
        <f t="shared" si="624"/>
        <v>0</v>
      </c>
      <c r="CV669">
        <f t="shared" si="625"/>
        <v>0.72</v>
      </c>
      <c r="CW669">
        <f t="shared" si="626"/>
        <v>0</v>
      </c>
      <c r="CX669">
        <f t="shared" si="626"/>
        <v>0</v>
      </c>
      <c r="CY669">
        <f t="shared" si="627"/>
        <v>945.14</v>
      </c>
      <c r="CZ669">
        <f t="shared" si="628"/>
        <v>135.02000000000001</v>
      </c>
      <c r="DC669" t="s">
        <v>3</v>
      </c>
      <c r="DD669" t="s">
        <v>163</v>
      </c>
      <c r="DE669" t="s">
        <v>163</v>
      </c>
      <c r="DF669" t="s">
        <v>163</v>
      </c>
      <c r="DG669" t="s">
        <v>163</v>
      </c>
      <c r="DH669" t="s">
        <v>3</v>
      </c>
      <c r="DI669" t="s">
        <v>163</v>
      </c>
      <c r="DJ669" t="s">
        <v>163</v>
      </c>
      <c r="DK669" t="s">
        <v>3</v>
      </c>
      <c r="DL669" t="s">
        <v>3</v>
      </c>
      <c r="DM669" t="s">
        <v>3</v>
      </c>
      <c r="DN669">
        <v>0</v>
      </c>
      <c r="DO669">
        <v>0</v>
      </c>
      <c r="DP669">
        <v>1</v>
      </c>
      <c r="DQ669">
        <v>1</v>
      </c>
      <c r="DU669">
        <v>16987630</v>
      </c>
      <c r="DV669" t="s">
        <v>53</v>
      </c>
      <c r="DW669" t="s">
        <v>53</v>
      </c>
      <c r="DX669">
        <v>100</v>
      </c>
      <c r="DZ669" t="s">
        <v>3</v>
      </c>
      <c r="EA669" t="s">
        <v>3</v>
      </c>
      <c r="EB669" t="s">
        <v>3</v>
      </c>
      <c r="EC669" t="s">
        <v>3</v>
      </c>
      <c r="EE669">
        <v>1441815344</v>
      </c>
      <c r="EF669">
        <v>1</v>
      </c>
      <c r="EG669" t="s">
        <v>21</v>
      </c>
      <c r="EH669">
        <v>0</v>
      </c>
      <c r="EI669" t="s">
        <v>3</v>
      </c>
      <c r="EJ669">
        <v>4</v>
      </c>
      <c r="EK669">
        <v>0</v>
      </c>
      <c r="EL669" t="s">
        <v>22</v>
      </c>
      <c r="EM669" t="s">
        <v>23</v>
      </c>
      <c r="EO669" t="s">
        <v>3</v>
      </c>
      <c r="EQ669">
        <v>1024</v>
      </c>
      <c r="ER669">
        <v>121.64</v>
      </c>
      <c r="ES669">
        <v>0</v>
      </c>
      <c r="ET669">
        <v>0</v>
      </c>
      <c r="EU669">
        <v>0</v>
      </c>
      <c r="EV669">
        <v>121.64</v>
      </c>
      <c r="EW669">
        <v>0.24</v>
      </c>
      <c r="EX669">
        <v>0</v>
      </c>
      <c r="EY669">
        <v>0</v>
      </c>
      <c r="FQ669">
        <v>0</v>
      </c>
      <c r="FR669">
        <f t="shared" si="629"/>
        <v>0</v>
      </c>
      <c r="FS669">
        <v>0</v>
      </c>
      <c r="FX669">
        <v>70</v>
      </c>
      <c r="FY669">
        <v>10</v>
      </c>
      <c r="GA669" t="s">
        <v>3</v>
      </c>
      <c r="GD669">
        <v>0</v>
      </c>
      <c r="GF669">
        <v>1019270866</v>
      </c>
      <c r="GG669">
        <v>2</v>
      </c>
      <c r="GH669">
        <v>1</v>
      </c>
      <c r="GI669">
        <v>-2</v>
      </c>
      <c r="GJ669">
        <v>0</v>
      </c>
      <c r="GK669">
        <f>ROUND(R669*(R12)/100,2)</f>
        <v>0</v>
      </c>
      <c r="GL669">
        <f t="shared" si="630"/>
        <v>0</v>
      </c>
      <c r="GM669">
        <f t="shared" si="631"/>
        <v>2430.36</v>
      </c>
      <c r="GN669">
        <f t="shared" si="632"/>
        <v>0</v>
      </c>
      <c r="GO669">
        <f t="shared" si="633"/>
        <v>0</v>
      </c>
      <c r="GP669">
        <f t="shared" si="634"/>
        <v>2430.36</v>
      </c>
      <c r="GR669">
        <v>0</v>
      </c>
      <c r="GS669">
        <v>3</v>
      </c>
      <c r="GT669">
        <v>0</v>
      </c>
      <c r="GU669" t="s">
        <v>3</v>
      </c>
      <c r="GV669">
        <f t="shared" si="635"/>
        <v>0</v>
      </c>
      <c r="GW669">
        <v>1</v>
      </c>
      <c r="GX669">
        <f t="shared" si="636"/>
        <v>0</v>
      </c>
      <c r="HA669">
        <v>0</v>
      </c>
      <c r="HB669">
        <v>0</v>
      </c>
      <c r="HC669">
        <f t="shared" si="637"/>
        <v>0</v>
      </c>
      <c r="HE669" t="s">
        <v>3</v>
      </c>
      <c r="HF669" t="s">
        <v>3</v>
      </c>
      <c r="HM669" t="s">
        <v>3</v>
      </c>
      <c r="HN669" t="s">
        <v>3</v>
      </c>
      <c r="HO669" t="s">
        <v>3</v>
      </c>
      <c r="HP669" t="s">
        <v>3</v>
      </c>
      <c r="HQ669" t="s">
        <v>3</v>
      </c>
      <c r="IK669">
        <v>0</v>
      </c>
    </row>
    <row r="670" spans="1:245" x14ac:dyDescent="0.2">
      <c r="A670">
        <v>17</v>
      </c>
      <c r="B670">
        <v>1</v>
      </c>
      <c r="D670">
        <f>ROW(EtalonRes!A392)</f>
        <v>392</v>
      </c>
      <c r="E670" t="s">
        <v>386</v>
      </c>
      <c r="F670" t="s">
        <v>346</v>
      </c>
      <c r="G670" t="s">
        <v>347</v>
      </c>
      <c r="H670" t="s">
        <v>36</v>
      </c>
      <c r="I670">
        <f>ROUND(1*10,9)</f>
        <v>10</v>
      </c>
      <c r="J670">
        <v>0</v>
      </c>
      <c r="K670">
        <f>ROUND(1*10,9)</f>
        <v>10</v>
      </c>
      <c r="O670">
        <f t="shared" si="607"/>
        <v>5896.8</v>
      </c>
      <c r="P670">
        <f t="shared" si="608"/>
        <v>50.4</v>
      </c>
      <c r="Q670">
        <f t="shared" si="609"/>
        <v>0</v>
      </c>
      <c r="R670">
        <f t="shared" si="610"/>
        <v>0</v>
      </c>
      <c r="S670">
        <f t="shared" si="611"/>
        <v>5846.4</v>
      </c>
      <c r="T670">
        <f t="shared" si="612"/>
        <v>0</v>
      </c>
      <c r="U670">
        <f t="shared" si="613"/>
        <v>10.4</v>
      </c>
      <c r="V670">
        <f t="shared" si="614"/>
        <v>0</v>
      </c>
      <c r="W670">
        <f t="shared" si="615"/>
        <v>0</v>
      </c>
      <c r="X670">
        <f t="shared" si="616"/>
        <v>4092.48</v>
      </c>
      <c r="Y670">
        <f t="shared" si="616"/>
        <v>584.64</v>
      </c>
      <c r="AA670">
        <v>1471718271</v>
      </c>
      <c r="AB670">
        <f t="shared" si="617"/>
        <v>589.67999999999995</v>
      </c>
      <c r="AC670">
        <f>ROUND(((ES670*4)),6)</f>
        <v>5.04</v>
      </c>
      <c r="AD670">
        <f>ROUND(((((ET670*4))-((EU670*4)))+AE670),6)</f>
        <v>0</v>
      </c>
      <c r="AE670">
        <f>ROUND(((EU670*4)),6)</f>
        <v>0</v>
      </c>
      <c r="AF670">
        <f>ROUND(((EV670*4)),6)</f>
        <v>584.64</v>
      </c>
      <c r="AG670">
        <f t="shared" si="618"/>
        <v>0</v>
      </c>
      <c r="AH670">
        <f>((EW670*4))</f>
        <v>1.04</v>
      </c>
      <c r="AI670">
        <f>((EX670*4))</f>
        <v>0</v>
      </c>
      <c r="AJ670">
        <f t="shared" si="619"/>
        <v>0</v>
      </c>
      <c r="AK670">
        <v>147.41999999999999</v>
      </c>
      <c r="AL670">
        <v>1.26</v>
      </c>
      <c r="AM670">
        <v>0</v>
      </c>
      <c r="AN670">
        <v>0</v>
      </c>
      <c r="AO670">
        <v>146.16</v>
      </c>
      <c r="AP670">
        <v>0</v>
      </c>
      <c r="AQ670">
        <v>0.26</v>
      </c>
      <c r="AR670">
        <v>0</v>
      </c>
      <c r="AS670">
        <v>0</v>
      </c>
      <c r="AT670">
        <v>70</v>
      </c>
      <c r="AU670">
        <v>10</v>
      </c>
      <c r="AV670">
        <v>1</v>
      </c>
      <c r="AW670">
        <v>1</v>
      </c>
      <c r="AZ670">
        <v>1</v>
      </c>
      <c r="BA670">
        <v>1</v>
      </c>
      <c r="BB670">
        <v>1</v>
      </c>
      <c r="BC670">
        <v>1</v>
      </c>
      <c r="BD670" t="s">
        <v>3</v>
      </c>
      <c r="BE670" t="s">
        <v>3</v>
      </c>
      <c r="BF670" t="s">
        <v>3</v>
      </c>
      <c r="BG670" t="s">
        <v>3</v>
      </c>
      <c r="BH670">
        <v>0</v>
      </c>
      <c r="BI670">
        <v>4</v>
      </c>
      <c r="BJ670" t="s">
        <v>348</v>
      </c>
      <c r="BM670">
        <v>0</v>
      </c>
      <c r="BN670">
        <v>0</v>
      </c>
      <c r="BO670" t="s">
        <v>3</v>
      </c>
      <c r="BP670">
        <v>0</v>
      </c>
      <c r="BQ670">
        <v>1</v>
      </c>
      <c r="BR670">
        <v>0</v>
      </c>
      <c r="BS670">
        <v>1</v>
      </c>
      <c r="BT670">
        <v>1</v>
      </c>
      <c r="BU670">
        <v>1</v>
      </c>
      <c r="BV670">
        <v>1</v>
      </c>
      <c r="BW670">
        <v>1</v>
      </c>
      <c r="BX670">
        <v>1</v>
      </c>
      <c r="BY670" t="s">
        <v>3</v>
      </c>
      <c r="BZ670">
        <v>70</v>
      </c>
      <c r="CA670">
        <v>10</v>
      </c>
      <c r="CB670" t="s">
        <v>3</v>
      </c>
      <c r="CE670">
        <v>0</v>
      </c>
      <c r="CF670">
        <v>0</v>
      </c>
      <c r="CG670">
        <v>0</v>
      </c>
      <c r="CM670">
        <v>0</v>
      </c>
      <c r="CN670" t="s">
        <v>3</v>
      </c>
      <c r="CO670">
        <v>0</v>
      </c>
      <c r="CP670">
        <f t="shared" si="620"/>
        <v>5896.7999999999993</v>
      </c>
      <c r="CQ670">
        <f t="shared" si="621"/>
        <v>5.04</v>
      </c>
      <c r="CR670">
        <f>(((((ET670*4))*BB670-((EU670*4))*BS670)+AE670*BS670)*AV670)</f>
        <v>0</v>
      </c>
      <c r="CS670">
        <f t="shared" si="622"/>
        <v>0</v>
      </c>
      <c r="CT670">
        <f t="shared" si="623"/>
        <v>584.64</v>
      </c>
      <c r="CU670">
        <f t="shared" si="624"/>
        <v>0</v>
      </c>
      <c r="CV670">
        <f t="shared" si="625"/>
        <v>1.04</v>
      </c>
      <c r="CW670">
        <f t="shared" si="626"/>
        <v>0</v>
      </c>
      <c r="CX670">
        <f t="shared" si="626"/>
        <v>0</v>
      </c>
      <c r="CY670">
        <f t="shared" si="627"/>
        <v>4092.48</v>
      </c>
      <c r="CZ670">
        <f t="shared" si="628"/>
        <v>584.64</v>
      </c>
      <c r="DC670" t="s">
        <v>3</v>
      </c>
      <c r="DD670" t="s">
        <v>20</v>
      </c>
      <c r="DE670" t="s">
        <v>20</v>
      </c>
      <c r="DF670" t="s">
        <v>20</v>
      </c>
      <c r="DG670" t="s">
        <v>20</v>
      </c>
      <c r="DH670" t="s">
        <v>3</v>
      </c>
      <c r="DI670" t="s">
        <v>20</v>
      </c>
      <c r="DJ670" t="s">
        <v>20</v>
      </c>
      <c r="DK670" t="s">
        <v>3</v>
      </c>
      <c r="DL670" t="s">
        <v>3</v>
      </c>
      <c r="DM670" t="s">
        <v>3</v>
      </c>
      <c r="DN670">
        <v>0</v>
      </c>
      <c r="DO670">
        <v>0</v>
      </c>
      <c r="DP670">
        <v>1</v>
      </c>
      <c r="DQ670">
        <v>1</v>
      </c>
      <c r="DU670">
        <v>16987630</v>
      </c>
      <c r="DV670" t="s">
        <v>36</v>
      </c>
      <c r="DW670" t="s">
        <v>36</v>
      </c>
      <c r="DX670">
        <v>1</v>
      </c>
      <c r="DZ670" t="s">
        <v>3</v>
      </c>
      <c r="EA670" t="s">
        <v>3</v>
      </c>
      <c r="EB670" t="s">
        <v>3</v>
      </c>
      <c r="EC670" t="s">
        <v>3</v>
      </c>
      <c r="EE670">
        <v>1441815344</v>
      </c>
      <c r="EF670">
        <v>1</v>
      </c>
      <c r="EG670" t="s">
        <v>21</v>
      </c>
      <c r="EH670">
        <v>0</v>
      </c>
      <c r="EI670" t="s">
        <v>3</v>
      </c>
      <c r="EJ670">
        <v>4</v>
      </c>
      <c r="EK670">
        <v>0</v>
      </c>
      <c r="EL670" t="s">
        <v>22</v>
      </c>
      <c r="EM670" t="s">
        <v>23</v>
      </c>
      <c r="EO670" t="s">
        <v>3</v>
      </c>
      <c r="EQ670">
        <v>0</v>
      </c>
      <c r="ER670">
        <v>147.41999999999999</v>
      </c>
      <c r="ES670">
        <v>1.26</v>
      </c>
      <c r="ET670">
        <v>0</v>
      </c>
      <c r="EU670">
        <v>0</v>
      </c>
      <c r="EV670">
        <v>146.16</v>
      </c>
      <c r="EW670">
        <v>0.26</v>
      </c>
      <c r="EX670">
        <v>0</v>
      </c>
      <c r="EY670">
        <v>0</v>
      </c>
      <c r="FQ670">
        <v>0</v>
      </c>
      <c r="FR670">
        <f t="shared" si="629"/>
        <v>0</v>
      </c>
      <c r="FS670">
        <v>0</v>
      </c>
      <c r="FX670">
        <v>70</v>
      </c>
      <c r="FY670">
        <v>10</v>
      </c>
      <c r="GA670" t="s">
        <v>3</v>
      </c>
      <c r="GD670">
        <v>0</v>
      </c>
      <c r="GF670">
        <v>1674503205</v>
      </c>
      <c r="GG670">
        <v>2</v>
      </c>
      <c r="GH670">
        <v>1</v>
      </c>
      <c r="GI670">
        <v>-2</v>
      </c>
      <c r="GJ670">
        <v>0</v>
      </c>
      <c r="GK670">
        <f>ROUND(R670*(R12)/100,2)</f>
        <v>0</v>
      </c>
      <c r="GL670">
        <f t="shared" si="630"/>
        <v>0</v>
      </c>
      <c r="GM670">
        <f t="shared" si="631"/>
        <v>10573.92</v>
      </c>
      <c r="GN670">
        <f t="shared" si="632"/>
        <v>0</v>
      </c>
      <c r="GO670">
        <f t="shared" si="633"/>
        <v>0</v>
      </c>
      <c r="GP670">
        <f t="shared" si="634"/>
        <v>10573.92</v>
      </c>
      <c r="GR670">
        <v>0</v>
      </c>
      <c r="GS670">
        <v>3</v>
      </c>
      <c r="GT670">
        <v>0</v>
      </c>
      <c r="GU670" t="s">
        <v>3</v>
      </c>
      <c r="GV670">
        <f t="shared" si="635"/>
        <v>0</v>
      </c>
      <c r="GW670">
        <v>1</v>
      </c>
      <c r="GX670">
        <f t="shared" si="636"/>
        <v>0</v>
      </c>
      <c r="HA670">
        <v>0</v>
      </c>
      <c r="HB670">
        <v>0</v>
      </c>
      <c r="HC670">
        <f t="shared" si="637"/>
        <v>0</v>
      </c>
      <c r="HE670" t="s">
        <v>3</v>
      </c>
      <c r="HF670" t="s">
        <v>3</v>
      </c>
      <c r="HM670" t="s">
        <v>3</v>
      </c>
      <c r="HN670" t="s">
        <v>3</v>
      </c>
      <c r="HO670" t="s">
        <v>3</v>
      </c>
      <c r="HP670" t="s">
        <v>3</v>
      </c>
      <c r="HQ670" t="s">
        <v>3</v>
      </c>
      <c r="IK670">
        <v>0</v>
      </c>
    </row>
    <row r="671" spans="1:245" x14ac:dyDescent="0.2">
      <c r="A671">
        <v>17</v>
      </c>
      <c r="B671">
        <v>1</v>
      </c>
      <c r="D671">
        <f>ROW(EtalonRes!A395)</f>
        <v>395</v>
      </c>
      <c r="E671" t="s">
        <v>3</v>
      </c>
      <c r="F671" t="s">
        <v>349</v>
      </c>
      <c r="G671" t="s">
        <v>350</v>
      </c>
      <c r="H671" t="s">
        <v>36</v>
      </c>
      <c r="I671">
        <f>ROUND(4*10,9)</f>
        <v>40</v>
      </c>
      <c r="J671">
        <v>0</v>
      </c>
      <c r="K671">
        <f>ROUND(4*10,9)</f>
        <v>40</v>
      </c>
      <c r="O671">
        <f t="shared" si="607"/>
        <v>27064.799999999999</v>
      </c>
      <c r="P671">
        <f t="shared" si="608"/>
        <v>97.6</v>
      </c>
      <c r="Q671">
        <f t="shared" si="609"/>
        <v>0</v>
      </c>
      <c r="R671">
        <f t="shared" si="610"/>
        <v>0</v>
      </c>
      <c r="S671">
        <f t="shared" si="611"/>
        <v>26967.200000000001</v>
      </c>
      <c r="T671">
        <f t="shared" si="612"/>
        <v>0</v>
      </c>
      <c r="U671">
        <f t="shared" si="613"/>
        <v>38</v>
      </c>
      <c r="V671">
        <f t="shared" si="614"/>
        <v>0</v>
      </c>
      <c r="W671">
        <f t="shared" si="615"/>
        <v>0</v>
      </c>
      <c r="X671">
        <f t="shared" si="616"/>
        <v>18877.04</v>
      </c>
      <c r="Y671">
        <f t="shared" si="616"/>
        <v>2696.72</v>
      </c>
      <c r="AA671">
        <v>-1</v>
      </c>
      <c r="AB671">
        <f t="shared" si="617"/>
        <v>676.62</v>
      </c>
      <c r="AC671">
        <f>ROUND((ES671),6)</f>
        <v>2.44</v>
      </c>
      <c r="AD671">
        <f>ROUND((((ET671)-(EU671))+AE671),6)</f>
        <v>0</v>
      </c>
      <c r="AE671">
        <f>ROUND((EU671),6)</f>
        <v>0</v>
      </c>
      <c r="AF671">
        <f>ROUND((EV671),6)</f>
        <v>674.18</v>
      </c>
      <c r="AG671">
        <f t="shared" si="618"/>
        <v>0</v>
      </c>
      <c r="AH671">
        <f>(EW671)</f>
        <v>0.95</v>
      </c>
      <c r="AI671">
        <f>(EX671)</f>
        <v>0</v>
      </c>
      <c r="AJ671">
        <f t="shared" si="619"/>
        <v>0</v>
      </c>
      <c r="AK671">
        <v>676.62</v>
      </c>
      <c r="AL671">
        <v>2.44</v>
      </c>
      <c r="AM671">
        <v>0</v>
      </c>
      <c r="AN671">
        <v>0</v>
      </c>
      <c r="AO671">
        <v>674.18</v>
      </c>
      <c r="AP671">
        <v>0</v>
      </c>
      <c r="AQ671">
        <v>0.95</v>
      </c>
      <c r="AR671">
        <v>0</v>
      </c>
      <c r="AS671">
        <v>0</v>
      </c>
      <c r="AT671">
        <v>70</v>
      </c>
      <c r="AU671">
        <v>10</v>
      </c>
      <c r="AV671">
        <v>1</v>
      </c>
      <c r="AW671">
        <v>1</v>
      </c>
      <c r="AZ671">
        <v>1</v>
      </c>
      <c r="BA671">
        <v>1</v>
      </c>
      <c r="BB671">
        <v>1</v>
      </c>
      <c r="BC671">
        <v>1</v>
      </c>
      <c r="BD671" t="s">
        <v>3</v>
      </c>
      <c r="BE671" t="s">
        <v>3</v>
      </c>
      <c r="BF671" t="s">
        <v>3</v>
      </c>
      <c r="BG671" t="s">
        <v>3</v>
      </c>
      <c r="BH671">
        <v>0</v>
      </c>
      <c r="BI671">
        <v>4</v>
      </c>
      <c r="BJ671" t="s">
        <v>351</v>
      </c>
      <c r="BM671">
        <v>0</v>
      </c>
      <c r="BN671">
        <v>0</v>
      </c>
      <c r="BO671" t="s">
        <v>3</v>
      </c>
      <c r="BP671">
        <v>0</v>
      </c>
      <c r="BQ671">
        <v>1</v>
      </c>
      <c r="BR671">
        <v>0</v>
      </c>
      <c r="BS671">
        <v>1</v>
      </c>
      <c r="BT671">
        <v>1</v>
      </c>
      <c r="BU671">
        <v>1</v>
      </c>
      <c r="BV671">
        <v>1</v>
      </c>
      <c r="BW671">
        <v>1</v>
      </c>
      <c r="BX671">
        <v>1</v>
      </c>
      <c r="BY671" t="s">
        <v>3</v>
      </c>
      <c r="BZ671">
        <v>70</v>
      </c>
      <c r="CA671">
        <v>10</v>
      </c>
      <c r="CB671" t="s">
        <v>3</v>
      </c>
      <c r="CE671">
        <v>0</v>
      </c>
      <c r="CF671">
        <v>0</v>
      </c>
      <c r="CG671">
        <v>0</v>
      </c>
      <c r="CM671">
        <v>0</v>
      </c>
      <c r="CN671" t="s">
        <v>3</v>
      </c>
      <c r="CO671">
        <v>0</v>
      </c>
      <c r="CP671">
        <f t="shared" si="620"/>
        <v>27064.799999999999</v>
      </c>
      <c r="CQ671">
        <f t="shared" si="621"/>
        <v>2.44</v>
      </c>
      <c r="CR671">
        <f>((((ET671)*BB671-(EU671)*BS671)+AE671*BS671)*AV671)</f>
        <v>0</v>
      </c>
      <c r="CS671">
        <f t="shared" si="622"/>
        <v>0</v>
      </c>
      <c r="CT671">
        <f t="shared" si="623"/>
        <v>674.18</v>
      </c>
      <c r="CU671">
        <f t="shared" si="624"/>
        <v>0</v>
      </c>
      <c r="CV671">
        <f t="shared" si="625"/>
        <v>0.95</v>
      </c>
      <c r="CW671">
        <f t="shared" si="626"/>
        <v>0</v>
      </c>
      <c r="CX671">
        <f t="shared" si="626"/>
        <v>0</v>
      </c>
      <c r="CY671">
        <f t="shared" si="627"/>
        <v>18877.04</v>
      </c>
      <c r="CZ671">
        <f t="shared" si="628"/>
        <v>2696.72</v>
      </c>
      <c r="DC671" t="s">
        <v>3</v>
      </c>
      <c r="DD671" t="s">
        <v>3</v>
      </c>
      <c r="DE671" t="s">
        <v>3</v>
      </c>
      <c r="DF671" t="s">
        <v>3</v>
      </c>
      <c r="DG671" t="s">
        <v>3</v>
      </c>
      <c r="DH671" t="s">
        <v>3</v>
      </c>
      <c r="DI671" t="s">
        <v>3</v>
      </c>
      <c r="DJ671" t="s">
        <v>3</v>
      </c>
      <c r="DK671" t="s">
        <v>3</v>
      </c>
      <c r="DL671" t="s">
        <v>3</v>
      </c>
      <c r="DM671" t="s">
        <v>3</v>
      </c>
      <c r="DN671">
        <v>0</v>
      </c>
      <c r="DO671">
        <v>0</v>
      </c>
      <c r="DP671">
        <v>1</v>
      </c>
      <c r="DQ671">
        <v>1</v>
      </c>
      <c r="DU671">
        <v>16987630</v>
      </c>
      <c r="DV671" t="s">
        <v>36</v>
      </c>
      <c r="DW671" t="s">
        <v>36</v>
      </c>
      <c r="DX671">
        <v>1</v>
      </c>
      <c r="DZ671" t="s">
        <v>3</v>
      </c>
      <c r="EA671" t="s">
        <v>3</v>
      </c>
      <c r="EB671" t="s">
        <v>3</v>
      </c>
      <c r="EC671" t="s">
        <v>3</v>
      </c>
      <c r="EE671">
        <v>1441815344</v>
      </c>
      <c r="EF671">
        <v>1</v>
      </c>
      <c r="EG671" t="s">
        <v>21</v>
      </c>
      <c r="EH671">
        <v>0</v>
      </c>
      <c r="EI671" t="s">
        <v>3</v>
      </c>
      <c r="EJ671">
        <v>4</v>
      </c>
      <c r="EK671">
        <v>0</v>
      </c>
      <c r="EL671" t="s">
        <v>22</v>
      </c>
      <c r="EM671" t="s">
        <v>23</v>
      </c>
      <c r="EO671" t="s">
        <v>3</v>
      </c>
      <c r="EQ671">
        <v>1311744</v>
      </c>
      <c r="ER671">
        <v>676.62</v>
      </c>
      <c r="ES671">
        <v>2.44</v>
      </c>
      <c r="ET671">
        <v>0</v>
      </c>
      <c r="EU671">
        <v>0</v>
      </c>
      <c r="EV671">
        <v>674.18</v>
      </c>
      <c r="EW671">
        <v>0.95</v>
      </c>
      <c r="EX671">
        <v>0</v>
      </c>
      <c r="EY671">
        <v>0</v>
      </c>
      <c r="FQ671">
        <v>0</v>
      </c>
      <c r="FR671">
        <f t="shared" si="629"/>
        <v>0</v>
      </c>
      <c r="FS671">
        <v>0</v>
      </c>
      <c r="FX671">
        <v>70</v>
      </c>
      <c r="FY671">
        <v>10</v>
      </c>
      <c r="GA671" t="s">
        <v>3</v>
      </c>
      <c r="GD671">
        <v>0</v>
      </c>
      <c r="GF671">
        <v>-664365948</v>
      </c>
      <c r="GG671">
        <v>2</v>
      </c>
      <c r="GH671">
        <v>1</v>
      </c>
      <c r="GI671">
        <v>-2</v>
      </c>
      <c r="GJ671">
        <v>0</v>
      </c>
      <c r="GK671">
        <f>ROUND(R671*(R12)/100,2)</f>
        <v>0</v>
      </c>
      <c r="GL671">
        <f t="shared" si="630"/>
        <v>0</v>
      </c>
      <c r="GM671">
        <f t="shared" si="631"/>
        <v>48638.559999999998</v>
      </c>
      <c r="GN671">
        <f t="shared" si="632"/>
        <v>0</v>
      </c>
      <c r="GO671">
        <f t="shared" si="633"/>
        <v>0</v>
      </c>
      <c r="GP671">
        <f t="shared" si="634"/>
        <v>48638.559999999998</v>
      </c>
      <c r="GR671">
        <v>0</v>
      </c>
      <c r="GS671">
        <v>3</v>
      </c>
      <c r="GT671">
        <v>0</v>
      </c>
      <c r="GU671" t="s">
        <v>3</v>
      </c>
      <c r="GV671">
        <f t="shared" si="635"/>
        <v>0</v>
      </c>
      <c r="GW671">
        <v>1</v>
      </c>
      <c r="GX671">
        <f t="shared" si="636"/>
        <v>0</v>
      </c>
      <c r="HA671">
        <v>0</v>
      </c>
      <c r="HB671">
        <v>0</v>
      </c>
      <c r="HC671">
        <f t="shared" si="637"/>
        <v>0</v>
      </c>
      <c r="HE671" t="s">
        <v>3</v>
      </c>
      <c r="HF671" t="s">
        <v>3</v>
      </c>
      <c r="HM671" t="s">
        <v>3</v>
      </c>
      <c r="HN671" t="s">
        <v>3</v>
      </c>
      <c r="HO671" t="s">
        <v>3</v>
      </c>
      <c r="HP671" t="s">
        <v>3</v>
      </c>
      <c r="HQ671" t="s">
        <v>3</v>
      </c>
      <c r="IK671">
        <v>0</v>
      </c>
    </row>
    <row r="672" spans="1:245" x14ac:dyDescent="0.2">
      <c r="A672">
        <v>17</v>
      </c>
      <c r="B672">
        <v>1</v>
      </c>
      <c r="D672">
        <f>ROW(EtalonRes!A398)</f>
        <v>398</v>
      </c>
      <c r="E672" t="s">
        <v>3</v>
      </c>
      <c r="F672" t="s">
        <v>252</v>
      </c>
      <c r="G672" t="s">
        <v>253</v>
      </c>
      <c r="H672" t="s">
        <v>36</v>
      </c>
      <c r="I672">
        <f>ROUND((53+45)*10,9)</f>
        <v>980</v>
      </c>
      <c r="J672">
        <v>0</v>
      </c>
      <c r="K672">
        <f>ROUND((53+45)*10,9)</f>
        <v>980</v>
      </c>
      <c r="O672">
        <f t="shared" si="607"/>
        <v>121382.8</v>
      </c>
      <c r="P672">
        <f t="shared" si="608"/>
        <v>352.8</v>
      </c>
      <c r="Q672">
        <f t="shared" si="609"/>
        <v>0</v>
      </c>
      <c r="R672">
        <f t="shared" si="610"/>
        <v>0</v>
      </c>
      <c r="S672">
        <f t="shared" si="611"/>
        <v>121030</v>
      </c>
      <c r="T672">
        <f t="shared" si="612"/>
        <v>0</v>
      </c>
      <c r="U672">
        <f t="shared" si="613"/>
        <v>196</v>
      </c>
      <c r="V672">
        <f t="shared" si="614"/>
        <v>0</v>
      </c>
      <c r="W672">
        <f t="shared" si="615"/>
        <v>0</v>
      </c>
      <c r="X672">
        <f t="shared" si="616"/>
        <v>84721</v>
      </c>
      <c r="Y672">
        <f t="shared" si="616"/>
        <v>12103</v>
      </c>
      <c r="AA672">
        <v>-1</v>
      </c>
      <c r="AB672">
        <f t="shared" si="617"/>
        <v>123.86</v>
      </c>
      <c r="AC672">
        <f>ROUND(((ES672*2)),6)</f>
        <v>0.36</v>
      </c>
      <c r="AD672">
        <f>ROUND(((((ET672*2))-((EU672*2)))+AE672),6)</f>
        <v>0</v>
      </c>
      <c r="AE672">
        <f>ROUND(((EU672*2)),6)</f>
        <v>0</v>
      </c>
      <c r="AF672">
        <f>ROUND(((EV672*2)),6)</f>
        <v>123.5</v>
      </c>
      <c r="AG672">
        <f t="shared" si="618"/>
        <v>0</v>
      </c>
      <c r="AH672">
        <f>((EW672*2))</f>
        <v>0.2</v>
      </c>
      <c r="AI672">
        <f>((EX672*2))</f>
        <v>0</v>
      </c>
      <c r="AJ672">
        <f t="shared" si="619"/>
        <v>0</v>
      </c>
      <c r="AK672">
        <v>61.93</v>
      </c>
      <c r="AL672">
        <v>0.18</v>
      </c>
      <c r="AM672">
        <v>0</v>
      </c>
      <c r="AN672">
        <v>0</v>
      </c>
      <c r="AO672">
        <v>61.75</v>
      </c>
      <c r="AP672">
        <v>0</v>
      </c>
      <c r="AQ672">
        <v>0.1</v>
      </c>
      <c r="AR672">
        <v>0</v>
      </c>
      <c r="AS672">
        <v>0</v>
      </c>
      <c r="AT672">
        <v>70</v>
      </c>
      <c r="AU672">
        <v>10</v>
      </c>
      <c r="AV672">
        <v>1</v>
      </c>
      <c r="AW672">
        <v>1</v>
      </c>
      <c r="AZ672">
        <v>1</v>
      </c>
      <c r="BA672">
        <v>1</v>
      </c>
      <c r="BB672">
        <v>1</v>
      </c>
      <c r="BC672">
        <v>1</v>
      </c>
      <c r="BD672" t="s">
        <v>3</v>
      </c>
      <c r="BE672" t="s">
        <v>3</v>
      </c>
      <c r="BF672" t="s">
        <v>3</v>
      </c>
      <c r="BG672" t="s">
        <v>3</v>
      </c>
      <c r="BH672">
        <v>0</v>
      </c>
      <c r="BI672">
        <v>4</v>
      </c>
      <c r="BJ672" t="s">
        <v>254</v>
      </c>
      <c r="BM672">
        <v>0</v>
      </c>
      <c r="BN672">
        <v>0</v>
      </c>
      <c r="BO672" t="s">
        <v>3</v>
      </c>
      <c r="BP672">
        <v>0</v>
      </c>
      <c r="BQ672">
        <v>1</v>
      </c>
      <c r="BR672">
        <v>0</v>
      </c>
      <c r="BS672">
        <v>1</v>
      </c>
      <c r="BT672">
        <v>1</v>
      </c>
      <c r="BU672">
        <v>1</v>
      </c>
      <c r="BV672">
        <v>1</v>
      </c>
      <c r="BW672">
        <v>1</v>
      </c>
      <c r="BX672">
        <v>1</v>
      </c>
      <c r="BY672" t="s">
        <v>3</v>
      </c>
      <c r="BZ672">
        <v>70</v>
      </c>
      <c r="CA672">
        <v>10</v>
      </c>
      <c r="CB672" t="s">
        <v>3</v>
      </c>
      <c r="CE672">
        <v>0</v>
      </c>
      <c r="CF672">
        <v>0</v>
      </c>
      <c r="CG672">
        <v>0</v>
      </c>
      <c r="CM672">
        <v>0</v>
      </c>
      <c r="CN672" t="s">
        <v>3</v>
      </c>
      <c r="CO672">
        <v>0</v>
      </c>
      <c r="CP672">
        <f t="shared" si="620"/>
        <v>121382.8</v>
      </c>
      <c r="CQ672">
        <f t="shared" si="621"/>
        <v>0.36</v>
      </c>
      <c r="CR672">
        <f>(((((ET672*2))*BB672-((EU672*2))*BS672)+AE672*BS672)*AV672)</f>
        <v>0</v>
      </c>
      <c r="CS672">
        <f t="shared" si="622"/>
        <v>0</v>
      </c>
      <c r="CT672">
        <f t="shared" si="623"/>
        <v>123.5</v>
      </c>
      <c r="CU672">
        <f t="shared" si="624"/>
        <v>0</v>
      </c>
      <c r="CV672">
        <f t="shared" si="625"/>
        <v>0.2</v>
      </c>
      <c r="CW672">
        <f t="shared" si="626"/>
        <v>0</v>
      </c>
      <c r="CX672">
        <f t="shared" si="626"/>
        <v>0</v>
      </c>
      <c r="CY672">
        <f t="shared" si="627"/>
        <v>84721</v>
      </c>
      <c r="CZ672">
        <f t="shared" si="628"/>
        <v>12103</v>
      </c>
      <c r="DC672" t="s">
        <v>3</v>
      </c>
      <c r="DD672" t="s">
        <v>42</v>
      </c>
      <c r="DE672" t="s">
        <v>42</v>
      </c>
      <c r="DF672" t="s">
        <v>42</v>
      </c>
      <c r="DG672" t="s">
        <v>42</v>
      </c>
      <c r="DH672" t="s">
        <v>3</v>
      </c>
      <c r="DI672" t="s">
        <v>42</v>
      </c>
      <c r="DJ672" t="s">
        <v>42</v>
      </c>
      <c r="DK672" t="s">
        <v>3</v>
      </c>
      <c r="DL672" t="s">
        <v>3</v>
      </c>
      <c r="DM672" t="s">
        <v>3</v>
      </c>
      <c r="DN672">
        <v>0</v>
      </c>
      <c r="DO672">
        <v>0</v>
      </c>
      <c r="DP672">
        <v>1</v>
      </c>
      <c r="DQ672">
        <v>1</v>
      </c>
      <c r="DU672">
        <v>16987630</v>
      </c>
      <c r="DV672" t="s">
        <v>36</v>
      </c>
      <c r="DW672" t="s">
        <v>36</v>
      </c>
      <c r="DX672">
        <v>1</v>
      </c>
      <c r="DZ672" t="s">
        <v>3</v>
      </c>
      <c r="EA672" t="s">
        <v>3</v>
      </c>
      <c r="EB672" t="s">
        <v>3</v>
      </c>
      <c r="EC672" t="s">
        <v>3</v>
      </c>
      <c r="EE672">
        <v>1441815344</v>
      </c>
      <c r="EF672">
        <v>1</v>
      </c>
      <c r="EG672" t="s">
        <v>21</v>
      </c>
      <c r="EH672">
        <v>0</v>
      </c>
      <c r="EI672" t="s">
        <v>3</v>
      </c>
      <c r="EJ672">
        <v>4</v>
      </c>
      <c r="EK672">
        <v>0</v>
      </c>
      <c r="EL672" t="s">
        <v>22</v>
      </c>
      <c r="EM672" t="s">
        <v>23</v>
      </c>
      <c r="EO672" t="s">
        <v>3</v>
      </c>
      <c r="EQ672">
        <v>1024</v>
      </c>
      <c r="ER672">
        <v>61.93</v>
      </c>
      <c r="ES672">
        <v>0.18</v>
      </c>
      <c r="ET672">
        <v>0</v>
      </c>
      <c r="EU672">
        <v>0</v>
      </c>
      <c r="EV672">
        <v>61.75</v>
      </c>
      <c r="EW672">
        <v>0.1</v>
      </c>
      <c r="EX672">
        <v>0</v>
      </c>
      <c r="EY672">
        <v>0</v>
      </c>
      <c r="FQ672">
        <v>0</v>
      </c>
      <c r="FR672">
        <f t="shared" si="629"/>
        <v>0</v>
      </c>
      <c r="FS672">
        <v>0</v>
      </c>
      <c r="FX672">
        <v>70</v>
      </c>
      <c r="FY672">
        <v>10</v>
      </c>
      <c r="GA672" t="s">
        <v>3</v>
      </c>
      <c r="GD672">
        <v>0</v>
      </c>
      <c r="GF672">
        <v>2049612897</v>
      </c>
      <c r="GG672">
        <v>2</v>
      </c>
      <c r="GH672">
        <v>1</v>
      </c>
      <c r="GI672">
        <v>-2</v>
      </c>
      <c r="GJ672">
        <v>0</v>
      </c>
      <c r="GK672">
        <f>ROUND(R672*(R12)/100,2)</f>
        <v>0</v>
      </c>
      <c r="GL672">
        <f t="shared" si="630"/>
        <v>0</v>
      </c>
      <c r="GM672">
        <f t="shared" si="631"/>
        <v>218206.8</v>
      </c>
      <c r="GN672">
        <f t="shared" si="632"/>
        <v>0</v>
      </c>
      <c r="GO672">
        <f t="shared" si="633"/>
        <v>0</v>
      </c>
      <c r="GP672">
        <f t="shared" si="634"/>
        <v>218206.8</v>
      </c>
      <c r="GR672">
        <v>0</v>
      </c>
      <c r="GS672">
        <v>3</v>
      </c>
      <c r="GT672">
        <v>0</v>
      </c>
      <c r="GU672" t="s">
        <v>3</v>
      </c>
      <c r="GV672">
        <f t="shared" si="635"/>
        <v>0</v>
      </c>
      <c r="GW672">
        <v>1</v>
      </c>
      <c r="GX672">
        <f t="shared" si="636"/>
        <v>0</v>
      </c>
      <c r="HA672">
        <v>0</v>
      </c>
      <c r="HB672">
        <v>0</v>
      </c>
      <c r="HC672">
        <f t="shared" si="637"/>
        <v>0</v>
      </c>
      <c r="HE672" t="s">
        <v>3</v>
      </c>
      <c r="HF672" t="s">
        <v>3</v>
      </c>
      <c r="HM672" t="s">
        <v>3</v>
      </c>
      <c r="HN672" t="s">
        <v>3</v>
      </c>
      <c r="HO672" t="s">
        <v>3</v>
      </c>
      <c r="HP672" t="s">
        <v>3</v>
      </c>
      <c r="HQ672" t="s">
        <v>3</v>
      </c>
      <c r="IK672">
        <v>0</v>
      </c>
    </row>
    <row r="673" spans="1:245" x14ac:dyDescent="0.2">
      <c r="A673">
        <v>17</v>
      </c>
      <c r="B673">
        <v>1</v>
      </c>
      <c r="D673">
        <f>ROW(EtalonRes!A403)</f>
        <v>403</v>
      </c>
      <c r="E673" t="s">
        <v>3</v>
      </c>
      <c r="F673" t="s">
        <v>255</v>
      </c>
      <c r="G673" t="s">
        <v>256</v>
      </c>
      <c r="H673" t="s">
        <v>36</v>
      </c>
      <c r="I673">
        <f>ROUND((53+45)*10,9)</f>
        <v>980</v>
      </c>
      <c r="J673">
        <v>0</v>
      </c>
      <c r="K673">
        <f>ROUND((53+45)*10,9)</f>
        <v>980</v>
      </c>
      <c r="O673">
        <f t="shared" si="607"/>
        <v>3681193.6</v>
      </c>
      <c r="P673">
        <f t="shared" si="608"/>
        <v>50352.4</v>
      </c>
      <c r="Q673">
        <f t="shared" si="609"/>
        <v>0</v>
      </c>
      <c r="R673">
        <f t="shared" si="610"/>
        <v>0</v>
      </c>
      <c r="S673">
        <f t="shared" si="611"/>
        <v>3630841.2</v>
      </c>
      <c r="T673">
        <f t="shared" si="612"/>
        <v>0</v>
      </c>
      <c r="U673">
        <f t="shared" si="613"/>
        <v>5880</v>
      </c>
      <c r="V673">
        <f t="shared" si="614"/>
        <v>0</v>
      </c>
      <c r="W673">
        <f t="shared" si="615"/>
        <v>0</v>
      </c>
      <c r="X673">
        <f t="shared" si="616"/>
        <v>2541588.84</v>
      </c>
      <c r="Y673">
        <f t="shared" si="616"/>
        <v>363084.12</v>
      </c>
      <c r="AA673">
        <v>-1</v>
      </c>
      <c r="AB673">
        <f t="shared" si="617"/>
        <v>3756.32</v>
      </c>
      <c r="AC673">
        <f>ROUND(((ES673*2)),6)</f>
        <v>51.38</v>
      </c>
      <c r="AD673">
        <f>ROUND(((((ET673*2))-((EU673*2)))+AE673),6)</f>
        <v>0</v>
      </c>
      <c r="AE673">
        <f>ROUND(((EU673*2)),6)</f>
        <v>0</v>
      </c>
      <c r="AF673">
        <f>ROUND(((EV673*2)),6)</f>
        <v>3704.94</v>
      </c>
      <c r="AG673">
        <f t="shared" si="618"/>
        <v>0</v>
      </c>
      <c r="AH673">
        <f>((EW673*2))</f>
        <v>6</v>
      </c>
      <c r="AI673">
        <f>((EX673*2))</f>
        <v>0</v>
      </c>
      <c r="AJ673">
        <f t="shared" si="619"/>
        <v>0</v>
      </c>
      <c r="AK673">
        <v>1878.16</v>
      </c>
      <c r="AL673">
        <v>25.69</v>
      </c>
      <c r="AM673">
        <v>0</v>
      </c>
      <c r="AN673">
        <v>0</v>
      </c>
      <c r="AO673">
        <v>1852.47</v>
      </c>
      <c r="AP673">
        <v>0</v>
      </c>
      <c r="AQ673">
        <v>3</v>
      </c>
      <c r="AR673">
        <v>0</v>
      </c>
      <c r="AS673">
        <v>0</v>
      </c>
      <c r="AT673">
        <v>70</v>
      </c>
      <c r="AU673">
        <v>10</v>
      </c>
      <c r="AV673">
        <v>1</v>
      </c>
      <c r="AW673">
        <v>1</v>
      </c>
      <c r="AZ673">
        <v>1</v>
      </c>
      <c r="BA673">
        <v>1</v>
      </c>
      <c r="BB673">
        <v>1</v>
      </c>
      <c r="BC673">
        <v>1</v>
      </c>
      <c r="BD673" t="s">
        <v>3</v>
      </c>
      <c r="BE673" t="s">
        <v>3</v>
      </c>
      <c r="BF673" t="s">
        <v>3</v>
      </c>
      <c r="BG673" t="s">
        <v>3</v>
      </c>
      <c r="BH673">
        <v>0</v>
      </c>
      <c r="BI673">
        <v>4</v>
      </c>
      <c r="BJ673" t="s">
        <v>257</v>
      </c>
      <c r="BM673">
        <v>0</v>
      </c>
      <c r="BN673">
        <v>0</v>
      </c>
      <c r="BO673" t="s">
        <v>3</v>
      </c>
      <c r="BP673">
        <v>0</v>
      </c>
      <c r="BQ673">
        <v>1</v>
      </c>
      <c r="BR673">
        <v>0</v>
      </c>
      <c r="BS673">
        <v>1</v>
      </c>
      <c r="BT673">
        <v>1</v>
      </c>
      <c r="BU673">
        <v>1</v>
      </c>
      <c r="BV673">
        <v>1</v>
      </c>
      <c r="BW673">
        <v>1</v>
      </c>
      <c r="BX673">
        <v>1</v>
      </c>
      <c r="BY673" t="s">
        <v>3</v>
      </c>
      <c r="BZ673">
        <v>70</v>
      </c>
      <c r="CA673">
        <v>10</v>
      </c>
      <c r="CB673" t="s">
        <v>3</v>
      </c>
      <c r="CE673">
        <v>0</v>
      </c>
      <c r="CF673">
        <v>0</v>
      </c>
      <c r="CG673">
        <v>0</v>
      </c>
      <c r="CM673">
        <v>0</v>
      </c>
      <c r="CN673" t="s">
        <v>3</v>
      </c>
      <c r="CO673">
        <v>0</v>
      </c>
      <c r="CP673">
        <f t="shared" si="620"/>
        <v>3681193.6</v>
      </c>
      <c r="CQ673">
        <f t="shared" si="621"/>
        <v>51.38</v>
      </c>
      <c r="CR673">
        <f>(((((ET673*2))*BB673-((EU673*2))*BS673)+AE673*BS673)*AV673)</f>
        <v>0</v>
      </c>
      <c r="CS673">
        <f t="shared" si="622"/>
        <v>0</v>
      </c>
      <c r="CT673">
        <f t="shared" si="623"/>
        <v>3704.94</v>
      </c>
      <c r="CU673">
        <f t="shared" si="624"/>
        <v>0</v>
      </c>
      <c r="CV673">
        <f t="shared" si="625"/>
        <v>6</v>
      </c>
      <c r="CW673">
        <f t="shared" si="626"/>
        <v>0</v>
      </c>
      <c r="CX673">
        <f t="shared" si="626"/>
        <v>0</v>
      </c>
      <c r="CY673">
        <f t="shared" si="627"/>
        <v>2541588.84</v>
      </c>
      <c r="CZ673">
        <f t="shared" si="628"/>
        <v>363084.12</v>
      </c>
      <c r="DC673" t="s">
        <v>3</v>
      </c>
      <c r="DD673" t="s">
        <v>42</v>
      </c>
      <c r="DE673" t="s">
        <v>42</v>
      </c>
      <c r="DF673" t="s">
        <v>42</v>
      </c>
      <c r="DG673" t="s">
        <v>42</v>
      </c>
      <c r="DH673" t="s">
        <v>3</v>
      </c>
      <c r="DI673" t="s">
        <v>42</v>
      </c>
      <c r="DJ673" t="s">
        <v>42</v>
      </c>
      <c r="DK673" t="s">
        <v>3</v>
      </c>
      <c r="DL673" t="s">
        <v>3</v>
      </c>
      <c r="DM673" t="s">
        <v>3</v>
      </c>
      <c r="DN673">
        <v>0</v>
      </c>
      <c r="DO673">
        <v>0</v>
      </c>
      <c r="DP673">
        <v>1</v>
      </c>
      <c r="DQ673">
        <v>1</v>
      </c>
      <c r="DU673">
        <v>16987630</v>
      </c>
      <c r="DV673" t="s">
        <v>36</v>
      </c>
      <c r="DW673" t="s">
        <v>36</v>
      </c>
      <c r="DX673">
        <v>1</v>
      </c>
      <c r="DZ673" t="s">
        <v>3</v>
      </c>
      <c r="EA673" t="s">
        <v>3</v>
      </c>
      <c r="EB673" t="s">
        <v>3</v>
      </c>
      <c r="EC673" t="s">
        <v>3</v>
      </c>
      <c r="EE673">
        <v>1441815344</v>
      </c>
      <c r="EF673">
        <v>1</v>
      </c>
      <c r="EG673" t="s">
        <v>21</v>
      </c>
      <c r="EH673">
        <v>0</v>
      </c>
      <c r="EI673" t="s">
        <v>3</v>
      </c>
      <c r="EJ673">
        <v>4</v>
      </c>
      <c r="EK673">
        <v>0</v>
      </c>
      <c r="EL673" t="s">
        <v>22</v>
      </c>
      <c r="EM673" t="s">
        <v>23</v>
      </c>
      <c r="EO673" t="s">
        <v>3</v>
      </c>
      <c r="EQ673">
        <v>1024</v>
      </c>
      <c r="ER673">
        <v>1878.16</v>
      </c>
      <c r="ES673">
        <v>25.69</v>
      </c>
      <c r="ET673">
        <v>0</v>
      </c>
      <c r="EU673">
        <v>0</v>
      </c>
      <c r="EV673">
        <v>1852.47</v>
      </c>
      <c r="EW673">
        <v>3</v>
      </c>
      <c r="EX673">
        <v>0</v>
      </c>
      <c r="EY673">
        <v>0</v>
      </c>
      <c r="FQ673">
        <v>0</v>
      </c>
      <c r="FR673">
        <f t="shared" si="629"/>
        <v>0</v>
      </c>
      <c r="FS673">
        <v>0</v>
      </c>
      <c r="FX673">
        <v>70</v>
      </c>
      <c r="FY673">
        <v>10</v>
      </c>
      <c r="GA673" t="s">
        <v>3</v>
      </c>
      <c r="GD673">
        <v>0</v>
      </c>
      <c r="GF673">
        <v>-18339376</v>
      </c>
      <c r="GG673">
        <v>2</v>
      </c>
      <c r="GH673">
        <v>1</v>
      </c>
      <c r="GI673">
        <v>-2</v>
      </c>
      <c r="GJ673">
        <v>0</v>
      </c>
      <c r="GK673">
        <f>ROUND(R673*(R12)/100,2)</f>
        <v>0</v>
      </c>
      <c r="GL673">
        <f t="shared" si="630"/>
        <v>0</v>
      </c>
      <c r="GM673">
        <f t="shared" si="631"/>
        <v>6585866.5599999996</v>
      </c>
      <c r="GN673">
        <f t="shared" si="632"/>
        <v>0</v>
      </c>
      <c r="GO673">
        <f t="shared" si="633"/>
        <v>0</v>
      </c>
      <c r="GP673">
        <f t="shared" si="634"/>
        <v>6585866.5599999996</v>
      </c>
      <c r="GR673">
        <v>0</v>
      </c>
      <c r="GS673">
        <v>3</v>
      </c>
      <c r="GT673">
        <v>0</v>
      </c>
      <c r="GU673" t="s">
        <v>3</v>
      </c>
      <c r="GV673">
        <f t="shared" si="635"/>
        <v>0</v>
      </c>
      <c r="GW673">
        <v>1</v>
      </c>
      <c r="GX673">
        <f t="shared" si="636"/>
        <v>0</v>
      </c>
      <c r="HA673">
        <v>0</v>
      </c>
      <c r="HB673">
        <v>0</v>
      </c>
      <c r="HC673">
        <f t="shared" si="637"/>
        <v>0</v>
      </c>
      <c r="HE673" t="s">
        <v>3</v>
      </c>
      <c r="HF673" t="s">
        <v>3</v>
      </c>
      <c r="HM673" t="s">
        <v>3</v>
      </c>
      <c r="HN673" t="s">
        <v>3</v>
      </c>
      <c r="HO673" t="s">
        <v>3</v>
      </c>
      <c r="HP673" t="s">
        <v>3</v>
      </c>
      <c r="HQ673" t="s">
        <v>3</v>
      </c>
      <c r="IK673">
        <v>0</v>
      </c>
    </row>
    <row r="674" spans="1:245" x14ac:dyDescent="0.2">
      <c r="A674">
        <v>19</v>
      </c>
      <c r="B674">
        <v>1</v>
      </c>
      <c r="F674" t="s">
        <v>3</v>
      </c>
      <c r="G674" t="s">
        <v>258</v>
      </c>
      <c r="H674" t="s">
        <v>3</v>
      </c>
      <c r="AA674">
        <v>1</v>
      </c>
      <c r="IK674">
        <v>0</v>
      </c>
    </row>
    <row r="675" spans="1:245" x14ac:dyDescent="0.2">
      <c r="A675">
        <v>17</v>
      </c>
      <c r="B675">
        <v>1</v>
      </c>
      <c r="D675">
        <f>ROW(EtalonRes!A405)</f>
        <v>405</v>
      </c>
      <c r="E675" t="s">
        <v>387</v>
      </c>
      <c r="F675" t="s">
        <v>260</v>
      </c>
      <c r="G675" t="s">
        <v>261</v>
      </c>
      <c r="H675" t="s">
        <v>18</v>
      </c>
      <c r="I675">
        <f>ROUND(ROUND((261*10)*0.2*0.1/100,9),9)</f>
        <v>0.52200000000000002</v>
      </c>
      <c r="J675">
        <v>0</v>
      </c>
      <c r="K675">
        <f>ROUND(ROUND((261*10)*0.2*0.1/100,9),9)</f>
        <v>0.52200000000000002</v>
      </c>
      <c r="O675">
        <f t="shared" ref="O675:O680" si="638">ROUND(CP675,2)</f>
        <v>2806.09</v>
      </c>
      <c r="P675">
        <f t="shared" ref="P675:P680" si="639">ROUND(CQ675*I675,2)</f>
        <v>11.75</v>
      </c>
      <c r="Q675">
        <f t="shared" ref="Q675:Q680" si="640">ROUND(CR675*I675,2)</f>
        <v>0</v>
      </c>
      <c r="R675">
        <f t="shared" ref="R675:R680" si="641">ROUND(CS675*I675,2)</f>
        <v>0</v>
      </c>
      <c r="S675">
        <f t="shared" ref="S675:S680" si="642">ROUND(CT675*I675,2)</f>
        <v>2794.34</v>
      </c>
      <c r="T675">
        <f t="shared" ref="T675:T680" si="643">ROUND(CU675*I675,2)</f>
        <v>0</v>
      </c>
      <c r="U675">
        <f t="shared" ref="U675:U680" si="644">CV675*I675</f>
        <v>5.2200000000000006</v>
      </c>
      <c r="V675">
        <f t="shared" ref="V675:V680" si="645">CW675*I675</f>
        <v>0</v>
      </c>
      <c r="W675">
        <f t="shared" ref="W675:W680" si="646">ROUND(CX675*I675,2)</f>
        <v>0</v>
      </c>
      <c r="X675">
        <f t="shared" ref="X675:Y680" si="647">ROUND(CY675,2)</f>
        <v>1956.04</v>
      </c>
      <c r="Y675">
        <f t="shared" si="647"/>
        <v>279.43</v>
      </c>
      <c r="AA675">
        <v>1471718271</v>
      </c>
      <c r="AB675">
        <f t="shared" ref="AB675:AB680" si="648">ROUND((AC675+AD675+AF675),6)</f>
        <v>5375.66</v>
      </c>
      <c r="AC675">
        <f t="shared" ref="AC675:AC680" si="649">ROUND((ES675),6)</f>
        <v>22.51</v>
      </c>
      <c r="AD675">
        <f t="shared" ref="AD675:AD680" si="650">ROUND((((ET675)-(EU675))+AE675),6)</f>
        <v>0</v>
      </c>
      <c r="AE675">
        <f t="shared" ref="AE675:AF680" si="651">ROUND((EU675),6)</f>
        <v>0</v>
      </c>
      <c r="AF675">
        <f t="shared" si="651"/>
        <v>5353.15</v>
      </c>
      <c r="AG675">
        <f t="shared" ref="AG675:AG680" si="652">ROUND((AP675),6)</f>
        <v>0</v>
      </c>
      <c r="AH675">
        <f t="shared" ref="AH675:AI680" si="653">(EW675)</f>
        <v>10</v>
      </c>
      <c r="AI675">
        <f t="shared" si="653"/>
        <v>0</v>
      </c>
      <c r="AJ675">
        <f t="shared" ref="AJ675:AJ680" si="654">(AS675)</f>
        <v>0</v>
      </c>
      <c r="AK675">
        <v>5375.66</v>
      </c>
      <c r="AL675">
        <v>22.51</v>
      </c>
      <c r="AM675">
        <v>0</v>
      </c>
      <c r="AN675">
        <v>0</v>
      </c>
      <c r="AO675">
        <v>5353.15</v>
      </c>
      <c r="AP675">
        <v>0</v>
      </c>
      <c r="AQ675">
        <v>10</v>
      </c>
      <c r="AR675">
        <v>0</v>
      </c>
      <c r="AS675">
        <v>0</v>
      </c>
      <c r="AT675">
        <v>70</v>
      </c>
      <c r="AU675">
        <v>10</v>
      </c>
      <c r="AV675">
        <v>1</v>
      </c>
      <c r="AW675">
        <v>1</v>
      </c>
      <c r="AZ675">
        <v>1</v>
      </c>
      <c r="BA675">
        <v>1</v>
      </c>
      <c r="BB675">
        <v>1</v>
      </c>
      <c r="BC675">
        <v>1</v>
      </c>
      <c r="BD675" t="s">
        <v>3</v>
      </c>
      <c r="BE675" t="s">
        <v>3</v>
      </c>
      <c r="BF675" t="s">
        <v>3</v>
      </c>
      <c r="BG675" t="s">
        <v>3</v>
      </c>
      <c r="BH675">
        <v>0</v>
      </c>
      <c r="BI675">
        <v>4</v>
      </c>
      <c r="BJ675" t="s">
        <v>262</v>
      </c>
      <c r="BM675">
        <v>0</v>
      </c>
      <c r="BN675">
        <v>0</v>
      </c>
      <c r="BO675" t="s">
        <v>3</v>
      </c>
      <c r="BP675">
        <v>0</v>
      </c>
      <c r="BQ675">
        <v>1</v>
      </c>
      <c r="BR675">
        <v>0</v>
      </c>
      <c r="BS675">
        <v>1</v>
      </c>
      <c r="BT675">
        <v>1</v>
      </c>
      <c r="BU675">
        <v>1</v>
      </c>
      <c r="BV675">
        <v>1</v>
      </c>
      <c r="BW675">
        <v>1</v>
      </c>
      <c r="BX675">
        <v>1</v>
      </c>
      <c r="BY675" t="s">
        <v>3</v>
      </c>
      <c r="BZ675">
        <v>70</v>
      </c>
      <c r="CA675">
        <v>10</v>
      </c>
      <c r="CB675" t="s">
        <v>3</v>
      </c>
      <c r="CE675">
        <v>0</v>
      </c>
      <c r="CF675">
        <v>0</v>
      </c>
      <c r="CG675">
        <v>0</v>
      </c>
      <c r="CM675">
        <v>0</v>
      </c>
      <c r="CN675" t="s">
        <v>3</v>
      </c>
      <c r="CO675">
        <v>0</v>
      </c>
      <c r="CP675">
        <f t="shared" ref="CP675:CP680" si="655">(P675+Q675+S675)</f>
        <v>2806.09</v>
      </c>
      <c r="CQ675">
        <f t="shared" ref="CQ675:CQ680" si="656">(AC675*BC675*AW675)</f>
        <v>22.51</v>
      </c>
      <c r="CR675">
        <f t="shared" ref="CR675:CR680" si="657">((((ET675)*BB675-(EU675)*BS675)+AE675*BS675)*AV675)</f>
        <v>0</v>
      </c>
      <c r="CS675">
        <f t="shared" ref="CS675:CS680" si="658">(AE675*BS675*AV675)</f>
        <v>0</v>
      </c>
      <c r="CT675">
        <f t="shared" ref="CT675:CT680" si="659">(AF675*BA675*AV675)</f>
        <v>5353.15</v>
      </c>
      <c r="CU675">
        <f t="shared" ref="CU675:CU680" si="660">AG675</f>
        <v>0</v>
      </c>
      <c r="CV675">
        <f t="shared" ref="CV675:CV680" si="661">(AH675*AV675)</f>
        <v>10</v>
      </c>
      <c r="CW675">
        <f t="shared" ref="CW675:CX680" si="662">AI675</f>
        <v>0</v>
      </c>
      <c r="CX675">
        <f t="shared" si="662"/>
        <v>0</v>
      </c>
      <c r="CY675">
        <f t="shared" ref="CY675:CY680" si="663">((S675*BZ675)/100)</f>
        <v>1956.0380000000002</v>
      </c>
      <c r="CZ675">
        <f t="shared" ref="CZ675:CZ680" si="664">((S675*CA675)/100)</f>
        <v>279.43400000000003</v>
      </c>
      <c r="DC675" t="s">
        <v>3</v>
      </c>
      <c r="DD675" t="s">
        <v>3</v>
      </c>
      <c r="DE675" t="s">
        <v>3</v>
      </c>
      <c r="DF675" t="s">
        <v>3</v>
      </c>
      <c r="DG675" t="s">
        <v>3</v>
      </c>
      <c r="DH675" t="s">
        <v>3</v>
      </c>
      <c r="DI675" t="s">
        <v>3</v>
      </c>
      <c r="DJ675" t="s">
        <v>3</v>
      </c>
      <c r="DK675" t="s">
        <v>3</v>
      </c>
      <c r="DL675" t="s">
        <v>3</v>
      </c>
      <c r="DM675" t="s">
        <v>3</v>
      </c>
      <c r="DN675">
        <v>0</v>
      </c>
      <c r="DO675">
        <v>0</v>
      </c>
      <c r="DP675">
        <v>1</v>
      </c>
      <c r="DQ675">
        <v>1</v>
      </c>
      <c r="DU675">
        <v>1003</v>
      </c>
      <c r="DV675" t="s">
        <v>18</v>
      </c>
      <c r="DW675" t="s">
        <v>18</v>
      </c>
      <c r="DX675">
        <v>100</v>
      </c>
      <c r="DZ675" t="s">
        <v>3</v>
      </c>
      <c r="EA675" t="s">
        <v>3</v>
      </c>
      <c r="EB675" t="s">
        <v>3</v>
      </c>
      <c r="EC675" t="s">
        <v>3</v>
      </c>
      <c r="EE675">
        <v>1441815344</v>
      </c>
      <c r="EF675">
        <v>1</v>
      </c>
      <c r="EG675" t="s">
        <v>21</v>
      </c>
      <c r="EH675">
        <v>0</v>
      </c>
      <c r="EI675" t="s">
        <v>3</v>
      </c>
      <c r="EJ675">
        <v>4</v>
      </c>
      <c r="EK675">
        <v>0</v>
      </c>
      <c r="EL675" t="s">
        <v>22</v>
      </c>
      <c r="EM675" t="s">
        <v>23</v>
      </c>
      <c r="EO675" t="s">
        <v>3</v>
      </c>
      <c r="EQ675">
        <v>0</v>
      </c>
      <c r="ER675">
        <v>5375.66</v>
      </c>
      <c r="ES675">
        <v>22.51</v>
      </c>
      <c r="ET675">
        <v>0</v>
      </c>
      <c r="EU675">
        <v>0</v>
      </c>
      <c r="EV675">
        <v>5353.15</v>
      </c>
      <c r="EW675">
        <v>10</v>
      </c>
      <c r="EX675">
        <v>0</v>
      </c>
      <c r="EY675">
        <v>0</v>
      </c>
      <c r="FQ675">
        <v>0</v>
      </c>
      <c r="FR675">
        <f t="shared" ref="FR675:FR680" si="665">ROUND(IF(BI675=3,GM675,0),2)</f>
        <v>0</v>
      </c>
      <c r="FS675">
        <v>0</v>
      </c>
      <c r="FX675">
        <v>70</v>
      </c>
      <c r="FY675">
        <v>10</v>
      </c>
      <c r="GA675" t="s">
        <v>3</v>
      </c>
      <c r="GD675">
        <v>0</v>
      </c>
      <c r="GF675">
        <v>29112068</v>
      </c>
      <c r="GG675">
        <v>2</v>
      </c>
      <c r="GH675">
        <v>1</v>
      </c>
      <c r="GI675">
        <v>-2</v>
      </c>
      <c r="GJ675">
        <v>0</v>
      </c>
      <c r="GK675">
        <f>ROUND(R675*(R12)/100,2)</f>
        <v>0</v>
      </c>
      <c r="GL675">
        <f t="shared" ref="GL675:GL680" si="666">ROUND(IF(AND(BH675=3,BI675=3,FS675&lt;&gt;0),P675,0),2)</f>
        <v>0</v>
      </c>
      <c r="GM675">
        <f t="shared" ref="GM675:GM680" si="667">ROUND(O675+X675+Y675+GK675,2)+GX675</f>
        <v>5041.5600000000004</v>
      </c>
      <c r="GN675">
        <f t="shared" ref="GN675:GN680" si="668">IF(OR(BI675=0,BI675=1),GM675-GX675,0)</f>
        <v>0</v>
      </c>
      <c r="GO675">
        <f t="shared" ref="GO675:GO680" si="669">IF(BI675=2,GM675-GX675,0)</f>
        <v>0</v>
      </c>
      <c r="GP675">
        <f t="shared" ref="GP675:GP680" si="670">IF(BI675=4,GM675-GX675,0)</f>
        <v>5041.5600000000004</v>
      </c>
      <c r="GR675">
        <v>0</v>
      </c>
      <c r="GS675">
        <v>3</v>
      </c>
      <c r="GT675">
        <v>0</v>
      </c>
      <c r="GU675" t="s">
        <v>3</v>
      </c>
      <c r="GV675">
        <f t="shared" ref="GV675:GV680" si="671">ROUND((GT675),6)</f>
        <v>0</v>
      </c>
      <c r="GW675">
        <v>1</v>
      </c>
      <c r="GX675">
        <f t="shared" ref="GX675:GX680" si="672">ROUND(HC675*I675,2)</f>
        <v>0</v>
      </c>
      <c r="HA675">
        <v>0</v>
      </c>
      <c r="HB675">
        <v>0</v>
      </c>
      <c r="HC675">
        <f t="shared" ref="HC675:HC680" si="673">GV675*GW675</f>
        <v>0</v>
      </c>
      <c r="HE675" t="s">
        <v>3</v>
      </c>
      <c r="HF675" t="s">
        <v>3</v>
      </c>
      <c r="HM675" t="s">
        <v>3</v>
      </c>
      <c r="HN675" t="s">
        <v>3</v>
      </c>
      <c r="HO675" t="s">
        <v>3</v>
      </c>
      <c r="HP675" t="s">
        <v>3</v>
      </c>
      <c r="HQ675" t="s">
        <v>3</v>
      </c>
      <c r="IK675">
        <v>0</v>
      </c>
    </row>
    <row r="676" spans="1:245" x14ac:dyDescent="0.2">
      <c r="A676">
        <v>17</v>
      </c>
      <c r="B676">
        <v>1</v>
      </c>
      <c r="D676">
        <f>ROW(EtalonRes!A406)</f>
        <v>406</v>
      </c>
      <c r="E676" t="s">
        <v>3</v>
      </c>
      <c r="F676" t="s">
        <v>263</v>
      </c>
      <c r="G676" t="s">
        <v>264</v>
      </c>
      <c r="H676" t="s">
        <v>18</v>
      </c>
      <c r="I676">
        <f>ROUND(261*10*0.1/100,9)</f>
        <v>2.61</v>
      </c>
      <c r="J676">
        <v>0</v>
      </c>
      <c r="K676">
        <f>ROUND(261*10*0.1/100,9)</f>
        <v>2.61</v>
      </c>
      <c r="O676">
        <f t="shared" si="638"/>
        <v>461.08</v>
      </c>
      <c r="P676">
        <f t="shared" si="639"/>
        <v>0</v>
      </c>
      <c r="Q676">
        <f t="shared" si="640"/>
        <v>0</v>
      </c>
      <c r="R676">
        <f t="shared" si="641"/>
        <v>0</v>
      </c>
      <c r="S676">
        <f t="shared" si="642"/>
        <v>461.08</v>
      </c>
      <c r="T676">
        <f t="shared" si="643"/>
        <v>0</v>
      </c>
      <c r="U676">
        <f t="shared" si="644"/>
        <v>0.86129999999999995</v>
      </c>
      <c r="V676">
        <f t="shared" si="645"/>
        <v>0</v>
      </c>
      <c r="W676">
        <f t="shared" si="646"/>
        <v>0</v>
      </c>
      <c r="X676">
        <f t="shared" si="647"/>
        <v>322.76</v>
      </c>
      <c r="Y676">
        <f t="shared" si="647"/>
        <v>46.11</v>
      </c>
      <c r="AA676">
        <v>-1</v>
      </c>
      <c r="AB676">
        <f t="shared" si="648"/>
        <v>176.66</v>
      </c>
      <c r="AC676">
        <f t="shared" si="649"/>
        <v>0</v>
      </c>
      <c r="AD676">
        <f t="shared" si="650"/>
        <v>0</v>
      </c>
      <c r="AE676">
        <f t="shared" si="651"/>
        <v>0</v>
      </c>
      <c r="AF676">
        <f t="shared" si="651"/>
        <v>176.66</v>
      </c>
      <c r="AG676">
        <f t="shared" si="652"/>
        <v>0</v>
      </c>
      <c r="AH676">
        <f t="shared" si="653"/>
        <v>0.33</v>
      </c>
      <c r="AI676">
        <f t="shared" si="653"/>
        <v>0</v>
      </c>
      <c r="AJ676">
        <f t="shared" si="654"/>
        <v>0</v>
      </c>
      <c r="AK676">
        <v>176.66</v>
      </c>
      <c r="AL676">
        <v>0</v>
      </c>
      <c r="AM676">
        <v>0</v>
      </c>
      <c r="AN676">
        <v>0</v>
      </c>
      <c r="AO676">
        <v>176.66</v>
      </c>
      <c r="AP676">
        <v>0</v>
      </c>
      <c r="AQ676">
        <v>0.33</v>
      </c>
      <c r="AR676">
        <v>0</v>
      </c>
      <c r="AS676">
        <v>0</v>
      </c>
      <c r="AT676">
        <v>70</v>
      </c>
      <c r="AU676">
        <v>10</v>
      </c>
      <c r="AV676">
        <v>1</v>
      </c>
      <c r="AW676">
        <v>1</v>
      </c>
      <c r="AZ676">
        <v>1</v>
      </c>
      <c r="BA676">
        <v>1</v>
      </c>
      <c r="BB676">
        <v>1</v>
      </c>
      <c r="BC676">
        <v>1</v>
      </c>
      <c r="BD676" t="s">
        <v>3</v>
      </c>
      <c r="BE676" t="s">
        <v>3</v>
      </c>
      <c r="BF676" t="s">
        <v>3</v>
      </c>
      <c r="BG676" t="s">
        <v>3</v>
      </c>
      <c r="BH676">
        <v>0</v>
      </c>
      <c r="BI676">
        <v>4</v>
      </c>
      <c r="BJ676" t="s">
        <v>265</v>
      </c>
      <c r="BM676">
        <v>0</v>
      </c>
      <c r="BN676">
        <v>0</v>
      </c>
      <c r="BO676" t="s">
        <v>3</v>
      </c>
      <c r="BP676">
        <v>0</v>
      </c>
      <c r="BQ676">
        <v>1</v>
      </c>
      <c r="BR676">
        <v>0</v>
      </c>
      <c r="BS676">
        <v>1</v>
      </c>
      <c r="BT676">
        <v>1</v>
      </c>
      <c r="BU676">
        <v>1</v>
      </c>
      <c r="BV676">
        <v>1</v>
      </c>
      <c r="BW676">
        <v>1</v>
      </c>
      <c r="BX676">
        <v>1</v>
      </c>
      <c r="BY676" t="s">
        <v>3</v>
      </c>
      <c r="BZ676">
        <v>70</v>
      </c>
      <c r="CA676">
        <v>10</v>
      </c>
      <c r="CB676" t="s">
        <v>3</v>
      </c>
      <c r="CE676">
        <v>0</v>
      </c>
      <c r="CF676">
        <v>0</v>
      </c>
      <c r="CG676">
        <v>0</v>
      </c>
      <c r="CM676">
        <v>0</v>
      </c>
      <c r="CN676" t="s">
        <v>3</v>
      </c>
      <c r="CO676">
        <v>0</v>
      </c>
      <c r="CP676">
        <f t="shared" si="655"/>
        <v>461.08</v>
      </c>
      <c r="CQ676">
        <f t="shared" si="656"/>
        <v>0</v>
      </c>
      <c r="CR676">
        <f t="shared" si="657"/>
        <v>0</v>
      </c>
      <c r="CS676">
        <f t="shared" si="658"/>
        <v>0</v>
      </c>
      <c r="CT676">
        <f t="shared" si="659"/>
        <v>176.66</v>
      </c>
      <c r="CU676">
        <f t="shared" si="660"/>
        <v>0</v>
      </c>
      <c r="CV676">
        <f t="shared" si="661"/>
        <v>0.33</v>
      </c>
      <c r="CW676">
        <f t="shared" si="662"/>
        <v>0</v>
      </c>
      <c r="CX676">
        <f t="shared" si="662"/>
        <v>0</v>
      </c>
      <c r="CY676">
        <f t="shared" si="663"/>
        <v>322.75599999999997</v>
      </c>
      <c r="CZ676">
        <f t="shared" si="664"/>
        <v>46.108000000000004</v>
      </c>
      <c r="DC676" t="s">
        <v>3</v>
      </c>
      <c r="DD676" t="s">
        <v>3</v>
      </c>
      <c r="DE676" t="s">
        <v>3</v>
      </c>
      <c r="DF676" t="s">
        <v>3</v>
      </c>
      <c r="DG676" t="s">
        <v>3</v>
      </c>
      <c r="DH676" t="s">
        <v>3</v>
      </c>
      <c r="DI676" t="s">
        <v>3</v>
      </c>
      <c r="DJ676" t="s">
        <v>3</v>
      </c>
      <c r="DK676" t="s">
        <v>3</v>
      </c>
      <c r="DL676" t="s">
        <v>3</v>
      </c>
      <c r="DM676" t="s">
        <v>3</v>
      </c>
      <c r="DN676">
        <v>0</v>
      </c>
      <c r="DO676">
        <v>0</v>
      </c>
      <c r="DP676">
        <v>1</v>
      </c>
      <c r="DQ676">
        <v>1</v>
      </c>
      <c r="DU676">
        <v>1003</v>
      </c>
      <c r="DV676" t="s">
        <v>18</v>
      </c>
      <c r="DW676" t="s">
        <v>18</v>
      </c>
      <c r="DX676">
        <v>100</v>
      </c>
      <c r="DZ676" t="s">
        <v>3</v>
      </c>
      <c r="EA676" t="s">
        <v>3</v>
      </c>
      <c r="EB676" t="s">
        <v>3</v>
      </c>
      <c r="EC676" t="s">
        <v>3</v>
      </c>
      <c r="EE676">
        <v>1441815344</v>
      </c>
      <c r="EF676">
        <v>1</v>
      </c>
      <c r="EG676" t="s">
        <v>21</v>
      </c>
      <c r="EH676">
        <v>0</v>
      </c>
      <c r="EI676" t="s">
        <v>3</v>
      </c>
      <c r="EJ676">
        <v>4</v>
      </c>
      <c r="EK676">
        <v>0</v>
      </c>
      <c r="EL676" t="s">
        <v>22</v>
      </c>
      <c r="EM676" t="s">
        <v>23</v>
      </c>
      <c r="EO676" t="s">
        <v>3</v>
      </c>
      <c r="EQ676">
        <v>1024</v>
      </c>
      <c r="ER676">
        <v>176.66</v>
      </c>
      <c r="ES676">
        <v>0</v>
      </c>
      <c r="ET676">
        <v>0</v>
      </c>
      <c r="EU676">
        <v>0</v>
      </c>
      <c r="EV676">
        <v>176.66</v>
      </c>
      <c r="EW676">
        <v>0.33</v>
      </c>
      <c r="EX676">
        <v>0</v>
      </c>
      <c r="EY676">
        <v>0</v>
      </c>
      <c r="FQ676">
        <v>0</v>
      </c>
      <c r="FR676">
        <f t="shared" si="665"/>
        <v>0</v>
      </c>
      <c r="FS676">
        <v>0</v>
      </c>
      <c r="FX676">
        <v>70</v>
      </c>
      <c r="FY676">
        <v>10</v>
      </c>
      <c r="GA676" t="s">
        <v>3</v>
      </c>
      <c r="GD676">
        <v>0</v>
      </c>
      <c r="GF676">
        <v>-21109996</v>
      </c>
      <c r="GG676">
        <v>2</v>
      </c>
      <c r="GH676">
        <v>1</v>
      </c>
      <c r="GI676">
        <v>-2</v>
      </c>
      <c r="GJ676">
        <v>0</v>
      </c>
      <c r="GK676">
        <f>ROUND(R676*(R12)/100,2)</f>
        <v>0</v>
      </c>
      <c r="GL676">
        <f t="shared" si="666"/>
        <v>0</v>
      </c>
      <c r="GM676">
        <f t="shared" si="667"/>
        <v>829.95</v>
      </c>
      <c r="GN676">
        <f t="shared" si="668"/>
        <v>0</v>
      </c>
      <c r="GO676">
        <f t="shared" si="669"/>
        <v>0</v>
      </c>
      <c r="GP676">
        <f t="shared" si="670"/>
        <v>829.95</v>
      </c>
      <c r="GR676">
        <v>0</v>
      </c>
      <c r="GS676">
        <v>3</v>
      </c>
      <c r="GT676">
        <v>0</v>
      </c>
      <c r="GU676" t="s">
        <v>3</v>
      </c>
      <c r="GV676">
        <f t="shared" si="671"/>
        <v>0</v>
      </c>
      <c r="GW676">
        <v>1</v>
      </c>
      <c r="GX676">
        <f t="shared" si="672"/>
        <v>0</v>
      </c>
      <c r="HA676">
        <v>0</v>
      </c>
      <c r="HB676">
        <v>0</v>
      </c>
      <c r="HC676">
        <f t="shared" si="673"/>
        <v>0</v>
      </c>
      <c r="HE676" t="s">
        <v>3</v>
      </c>
      <c r="HF676" t="s">
        <v>3</v>
      </c>
      <c r="HM676" t="s">
        <v>3</v>
      </c>
      <c r="HN676" t="s">
        <v>3</v>
      </c>
      <c r="HO676" t="s">
        <v>3</v>
      </c>
      <c r="HP676" t="s">
        <v>3</v>
      </c>
      <c r="HQ676" t="s">
        <v>3</v>
      </c>
      <c r="IK676">
        <v>0</v>
      </c>
    </row>
    <row r="677" spans="1:245" x14ac:dyDescent="0.2">
      <c r="A677">
        <v>17</v>
      </c>
      <c r="B677">
        <v>1</v>
      </c>
      <c r="D677">
        <f>ROW(EtalonRes!A408)</f>
        <v>408</v>
      </c>
      <c r="E677" t="s">
        <v>388</v>
      </c>
      <c r="F677" t="s">
        <v>260</v>
      </c>
      <c r="G677" t="s">
        <v>267</v>
      </c>
      <c r="H677" t="s">
        <v>18</v>
      </c>
      <c r="I677">
        <f>ROUND(ROUND((245*10)*0.2*0.1/100,9),9)</f>
        <v>0.49</v>
      </c>
      <c r="J677">
        <v>0</v>
      </c>
      <c r="K677">
        <f>ROUND(ROUND((245*10)*0.2*0.1/100,9),9)</f>
        <v>0.49</v>
      </c>
      <c r="O677">
        <f t="shared" si="638"/>
        <v>2634.07</v>
      </c>
      <c r="P677">
        <f t="shared" si="639"/>
        <v>11.03</v>
      </c>
      <c r="Q677">
        <f t="shared" si="640"/>
        <v>0</v>
      </c>
      <c r="R677">
        <f t="shared" si="641"/>
        <v>0</v>
      </c>
      <c r="S677">
        <f t="shared" si="642"/>
        <v>2623.04</v>
      </c>
      <c r="T677">
        <f t="shared" si="643"/>
        <v>0</v>
      </c>
      <c r="U677">
        <f t="shared" si="644"/>
        <v>4.9000000000000004</v>
      </c>
      <c r="V677">
        <f t="shared" si="645"/>
        <v>0</v>
      </c>
      <c r="W677">
        <f t="shared" si="646"/>
        <v>0</v>
      </c>
      <c r="X677">
        <f t="shared" si="647"/>
        <v>1836.13</v>
      </c>
      <c r="Y677">
        <f t="shared" si="647"/>
        <v>262.3</v>
      </c>
      <c r="AA677">
        <v>1471718271</v>
      </c>
      <c r="AB677">
        <f t="shared" si="648"/>
        <v>5375.66</v>
      </c>
      <c r="AC677">
        <f t="shared" si="649"/>
        <v>22.51</v>
      </c>
      <c r="AD677">
        <f t="shared" si="650"/>
        <v>0</v>
      </c>
      <c r="AE677">
        <f t="shared" si="651"/>
        <v>0</v>
      </c>
      <c r="AF677">
        <f t="shared" si="651"/>
        <v>5353.15</v>
      </c>
      <c r="AG677">
        <f t="shared" si="652"/>
        <v>0</v>
      </c>
      <c r="AH677">
        <f t="shared" si="653"/>
        <v>10</v>
      </c>
      <c r="AI677">
        <f t="shared" si="653"/>
        <v>0</v>
      </c>
      <c r="AJ677">
        <f t="shared" si="654"/>
        <v>0</v>
      </c>
      <c r="AK677">
        <v>5375.66</v>
      </c>
      <c r="AL677">
        <v>22.51</v>
      </c>
      <c r="AM677">
        <v>0</v>
      </c>
      <c r="AN677">
        <v>0</v>
      </c>
      <c r="AO677">
        <v>5353.15</v>
      </c>
      <c r="AP677">
        <v>0</v>
      </c>
      <c r="AQ677">
        <v>10</v>
      </c>
      <c r="AR677">
        <v>0</v>
      </c>
      <c r="AS677">
        <v>0</v>
      </c>
      <c r="AT677">
        <v>70</v>
      </c>
      <c r="AU677">
        <v>10</v>
      </c>
      <c r="AV677">
        <v>1</v>
      </c>
      <c r="AW677">
        <v>1</v>
      </c>
      <c r="AZ677">
        <v>1</v>
      </c>
      <c r="BA677">
        <v>1</v>
      </c>
      <c r="BB677">
        <v>1</v>
      </c>
      <c r="BC677">
        <v>1</v>
      </c>
      <c r="BD677" t="s">
        <v>3</v>
      </c>
      <c r="BE677" t="s">
        <v>3</v>
      </c>
      <c r="BF677" t="s">
        <v>3</v>
      </c>
      <c r="BG677" t="s">
        <v>3</v>
      </c>
      <c r="BH677">
        <v>0</v>
      </c>
      <c r="BI677">
        <v>4</v>
      </c>
      <c r="BJ677" t="s">
        <v>262</v>
      </c>
      <c r="BM677">
        <v>0</v>
      </c>
      <c r="BN677">
        <v>0</v>
      </c>
      <c r="BO677" t="s">
        <v>3</v>
      </c>
      <c r="BP677">
        <v>0</v>
      </c>
      <c r="BQ677">
        <v>1</v>
      </c>
      <c r="BR677">
        <v>0</v>
      </c>
      <c r="BS677">
        <v>1</v>
      </c>
      <c r="BT677">
        <v>1</v>
      </c>
      <c r="BU677">
        <v>1</v>
      </c>
      <c r="BV677">
        <v>1</v>
      </c>
      <c r="BW677">
        <v>1</v>
      </c>
      <c r="BX677">
        <v>1</v>
      </c>
      <c r="BY677" t="s">
        <v>3</v>
      </c>
      <c r="BZ677">
        <v>70</v>
      </c>
      <c r="CA677">
        <v>10</v>
      </c>
      <c r="CB677" t="s">
        <v>3</v>
      </c>
      <c r="CE677">
        <v>0</v>
      </c>
      <c r="CF677">
        <v>0</v>
      </c>
      <c r="CG677">
        <v>0</v>
      </c>
      <c r="CM677">
        <v>0</v>
      </c>
      <c r="CN677" t="s">
        <v>3</v>
      </c>
      <c r="CO677">
        <v>0</v>
      </c>
      <c r="CP677">
        <f t="shared" si="655"/>
        <v>2634.07</v>
      </c>
      <c r="CQ677">
        <f t="shared" si="656"/>
        <v>22.51</v>
      </c>
      <c r="CR677">
        <f t="shared" si="657"/>
        <v>0</v>
      </c>
      <c r="CS677">
        <f t="shared" si="658"/>
        <v>0</v>
      </c>
      <c r="CT677">
        <f t="shared" si="659"/>
        <v>5353.15</v>
      </c>
      <c r="CU677">
        <f t="shared" si="660"/>
        <v>0</v>
      </c>
      <c r="CV677">
        <f t="shared" si="661"/>
        <v>10</v>
      </c>
      <c r="CW677">
        <f t="shared" si="662"/>
        <v>0</v>
      </c>
      <c r="CX677">
        <f t="shared" si="662"/>
        <v>0</v>
      </c>
      <c r="CY677">
        <f t="shared" si="663"/>
        <v>1836.1279999999999</v>
      </c>
      <c r="CZ677">
        <f t="shared" si="664"/>
        <v>262.30400000000003</v>
      </c>
      <c r="DC677" t="s">
        <v>3</v>
      </c>
      <c r="DD677" t="s">
        <v>3</v>
      </c>
      <c r="DE677" t="s">
        <v>3</v>
      </c>
      <c r="DF677" t="s">
        <v>3</v>
      </c>
      <c r="DG677" t="s">
        <v>3</v>
      </c>
      <c r="DH677" t="s">
        <v>3</v>
      </c>
      <c r="DI677" t="s">
        <v>3</v>
      </c>
      <c r="DJ677" t="s">
        <v>3</v>
      </c>
      <c r="DK677" t="s">
        <v>3</v>
      </c>
      <c r="DL677" t="s">
        <v>3</v>
      </c>
      <c r="DM677" t="s">
        <v>3</v>
      </c>
      <c r="DN677">
        <v>0</v>
      </c>
      <c r="DO677">
        <v>0</v>
      </c>
      <c r="DP677">
        <v>1</v>
      </c>
      <c r="DQ677">
        <v>1</v>
      </c>
      <c r="DU677">
        <v>1003</v>
      </c>
      <c r="DV677" t="s">
        <v>18</v>
      </c>
      <c r="DW677" t="s">
        <v>18</v>
      </c>
      <c r="DX677">
        <v>100</v>
      </c>
      <c r="DZ677" t="s">
        <v>3</v>
      </c>
      <c r="EA677" t="s">
        <v>3</v>
      </c>
      <c r="EB677" t="s">
        <v>3</v>
      </c>
      <c r="EC677" t="s">
        <v>3</v>
      </c>
      <c r="EE677">
        <v>1441815344</v>
      </c>
      <c r="EF677">
        <v>1</v>
      </c>
      <c r="EG677" t="s">
        <v>21</v>
      </c>
      <c r="EH677">
        <v>0</v>
      </c>
      <c r="EI677" t="s">
        <v>3</v>
      </c>
      <c r="EJ677">
        <v>4</v>
      </c>
      <c r="EK677">
        <v>0</v>
      </c>
      <c r="EL677" t="s">
        <v>22</v>
      </c>
      <c r="EM677" t="s">
        <v>23</v>
      </c>
      <c r="EO677" t="s">
        <v>3</v>
      </c>
      <c r="EQ677">
        <v>0</v>
      </c>
      <c r="ER677">
        <v>5375.66</v>
      </c>
      <c r="ES677">
        <v>22.51</v>
      </c>
      <c r="ET677">
        <v>0</v>
      </c>
      <c r="EU677">
        <v>0</v>
      </c>
      <c r="EV677">
        <v>5353.15</v>
      </c>
      <c r="EW677">
        <v>10</v>
      </c>
      <c r="EX677">
        <v>0</v>
      </c>
      <c r="EY677">
        <v>0</v>
      </c>
      <c r="FQ677">
        <v>0</v>
      </c>
      <c r="FR677">
        <f t="shared" si="665"/>
        <v>0</v>
      </c>
      <c r="FS677">
        <v>0</v>
      </c>
      <c r="FX677">
        <v>70</v>
      </c>
      <c r="FY677">
        <v>10</v>
      </c>
      <c r="GA677" t="s">
        <v>3</v>
      </c>
      <c r="GD677">
        <v>0</v>
      </c>
      <c r="GF677">
        <v>409781007</v>
      </c>
      <c r="GG677">
        <v>2</v>
      </c>
      <c r="GH677">
        <v>1</v>
      </c>
      <c r="GI677">
        <v>-2</v>
      </c>
      <c r="GJ677">
        <v>0</v>
      </c>
      <c r="GK677">
        <f>ROUND(R677*(R12)/100,2)</f>
        <v>0</v>
      </c>
      <c r="GL677">
        <f t="shared" si="666"/>
        <v>0</v>
      </c>
      <c r="GM677">
        <f t="shared" si="667"/>
        <v>4732.5</v>
      </c>
      <c r="GN677">
        <f t="shared" si="668"/>
        <v>0</v>
      </c>
      <c r="GO677">
        <f t="shared" si="669"/>
        <v>0</v>
      </c>
      <c r="GP677">
        <f t="shared" si="670"/>
        <v>4732.5</v>
      </c>
      <c r="GR677">
        <v>0</v>
      </c>
      <c r="GS677">
        <v>3</v>
      </c>
      <c r="GT677">
        <v>0</v>
      </c>
      <c r="GU677" t="s">
        <v>3</v>
      </c>
      <c r="GV677">
        <f t="shared" si="671"/>
        <v>0</v>
      </c>
      <c r="GW677">
        <v>1</v>
      </c>
      <c r="GX677">
        <f t="shared" si="672"/>
        <v>0</v>
      </c>
      <c r="HA677">
        <v>0</v>
      </c>
      <c r="HB677">
        <v>0</v>
      </c>
      <c r="HC677">
        <f t="shared" si="673"/>
        <v>0</v>
      </c>
      <c r="HE677" t="s">
        <v>3</v>
      </c>
      <c r="HF677" t="s">
        <v>3</v>
      </c>
      <c r="HM677" t="s">
        <v>3</v>
      </c>
      <c r="HN677" t="s">
        <v>3</v>
      </c>
      <c r="HO677" t="s">
        <v>3</v>
      </c>
      <c r="HP677" t="s">
        <v>3</v>
      </c>
      <c r="HQ677" t="s">
        <v>3</v>
      </c>
      <c r="IK677">
        <v>0</v>
      </c>
    </row>
    <row r="678" spans="1:245" x14ac:dyDescent="0.2">
      <c r="A678">
        <v>17</v>
      </c>
      <c r="B678">
        <v>1</v>
      </c>
      <c r="D678">
        <f>ROW(EtalonRes!A409)</f>
        <v>409</v>
      </c>
      <c r="E678" t="s">
        <v>3</v>
      </c>
      <c r="F678" t="s">
        <v>263</v>
      </c>
      <c r="G678" t="s">
        <v>268</v>
      </c>
      <c r="H678" t="s">
        <v>18</v>
      </c>
      <c r="I678">
        <f>ROUND(245*10*0.1/100,9)</f>
        <v>2.4500000000000002</v>
      </c>
      <c r="J678">
        <v>0</v>
      </c>
      <c r="K678">
        <f>ROUND(245*10*0.1/100,9)</f>
        <v>2.4500000000000002</v>
      </c>
      <c r="O678">
        <f t="shared" si="638"/>
        <v>432.82</v>
      </c>
      <c r="P678">
        <f t="shared" si="639"/>
        <v>0</v>
      </c>
      <c r="Q678">
        <f t="shared" si="640"/>
        <v>0</v>
      </c>
      <c r="R678">
        <f t="shared" si="641"/>
        <v>0</v>
      </c>
      <c r="S678">
        <f t="shared" si="642"/>
        <v>432.82</v>
      </c>
      <c r="T678">
        <f t="shared" si="643"/>
        <v>0</v>
      </c>
      <c r="U678">
        <f t="shared" si="644"/>
        <v>0.80850000000000011</v>
      </c>
      <c r="V678">
        <f t="shared" si="645"/>
        <v>0</v>
      </c>
      <c r="W678">
        <f t="shared" si="646"/>
        <v>0</v>
      </c>
      <c r="X678">
        <f t="shared" si="647"/>
        <v>302.97000000000003</v>
      </c>
      <c r="Y678">
        <f t="shared" si="647"/>
        <v>43.28</v>
      </c>
      <c r="AA678">
        <v>-1</v>
      </c>
      <c r="AB678">
        <f t="shared" si="648"/>
        <v>176.66</v>
      </c>
      <c r="AC678">
        <f t="shared" si="649"/>
        <v>0</v>
      </c>
      <c r="AD678">
        <f t="shared" si="650"/>
        <v>0</v>
      </c>
      <c r="AE678">
        <f t="shared" si="651"/>
        <v>0</v>
      </c>
      <c r="AF678">
        <f t="shared" si="651"/>
        <v>176.66</v>
      </c>
      <c r="AG678">
        <f t="shared" si="652"/>
        <v>0</v>
      </c>
      <c r="AH678">
        <f t="shared" si="653"/>
        <v>0.33</v>
      </c>
      <c r="AI678">
        <f t="shared" si="653"/>
        <v>0</v>
      </c>
      <c r="AJ678">
        <f t="shared" si="654"/>
        <v>0</v>
      </c>
      <c r="AK678">
        <v>176.66</v>
      </c>
      <c r="AL678">
        <v>0</v>
      </c>
      <c r="AM678">
        <v>0</v>
      </c>
      <c r="AN678">
        <v>0</v>
      </c>
      <c r="AO678">
        <v>176.66</v>
      </c>
      <c r="AP678">
        <v>0</v>
      </c>
      <c r="AQ678">
        <v>0.33</v>
      </c>
      <c r="AR678">
        <v>0</v>
      </c>
      <c r="AS678">
        <v>0</v>
      </c>
      <c r="AT678">
        <v>70</v>
      </c>
      <c r="AU678">
        <v>10</v>
      </c>
      <c r="AV678">
        <v>1</v>
      </c>
      <c r="AW678">
        <v>1</v>
      </c>
      <c r="AZ678">
        <v>1</v>
      </c>
      <c r="BA678">
        <v>1</v>
      </c>
      <c r="BB678">
        <v>1</v>
      </c>
      <c r="BC678">
        <v>1</v>
      </c>
      <c r="BD678" t="s">
        <v>3</v>
      </c>
      <c r="BE678" t="s">
        <v>3</v>
      </c>
      <c r="BF678" t="s">
        <v>3</v>
      </c>
      <c r="BG678" t="s">
        <v>3</v>
      </c>
      <c r="BH678">
        <v>0</v>
      </c>
      <c r="BI678">
        <v>4</v>
      </c>
      <c r="BJ678" t="s">
        <v>265</v>
      </c>
      <c r="BM678">
        <v>0</v>
      </c>
      <c r="BN678">
        <v>0</v>
      </c>
      <c r="BO678" t="s">
        <v>3</v>
      </c>
      <c r="BP678">
        <v>0</v>
      </c>
      <c r="BQ678">
        <v>1</v>
      </c>
      <c r="BR678">
        <v>0</v>
      </c>
      <c r="BS678">
        <v>1</v>
      </c>
      <c r="BT678">
        <v>1</v>
      </c>
      <c r="BU678">
        <v>1</v>
      </c>
      <c r="BV678">
        <v>1</v>
      </c>
      <c r="BW678">
        <v>1</v>
      </c>
      <c r="BX678">
        <v>1</v>
      </c>
      <c r="BY678" t="s">
        <v>3</v>
      </c>
      <c r="BZ678">
        <v>70</v>
      </c>
      <c r="CA678">
        <v>10</v>
      </c>
      <c r="CB678" t="s">
        <v>3</v>
      </c>
      <c r="CE678">
        <v>0</v>
      </c>
      <c r="CF678">
        <v>0</v>
      </c>
      <c r="CG678">
        <v>0</v>
      </c>
      <c r="CM678">
        <v>0</v>
      </c>
      <c r="CN678" t="s">
        <v>3</v>
      </c>
      <c r="CO678">
        <v>0</v>
      </c>
      <c r="CP678">
        <f t="shared" si="655"/>
        <v>432.82</v>
      </c>
      <c r="CQ678">
        <f t="shared" si="656"/>
        <v>0</v>
      </c>
      <c r="CR678">
        <f t="shared" si="657"/>
        <v>0</v>
      </c>
      <c r="CS678">
        <f t="shared" si="658"/>
        <v>0</v>
      </c>
      <c r="CT678">
        <f t="shared" si="659"/>
        <v>176.66</v>
      </c>
      <c r="CU678">
        <f t="shared" si="660"/>
        <v>0</v>
      </c>
      <c r="CV678">
        <f t="shared" si="661"/>
        <v>0.33</v>
      </c>
      <c r="CW678">
        <f t="shared" si="662"/>
        <v>0</v>
      </c>
      <c r="CX678">
        <f t="shared" si="662"/>
        <v>0</v>
      </c>
      <c r="CY678">
        <f t="shared" si="663"/>
        <v>302.97399999999999</v>
      </c>
      <c r="CZ678">
        <f t="shared" si="664"/>
        <v>43.281999999999996</v>
      </c>
      <c r="DC678" t="s">
        <v>3</v>
      </c>
      <c r="DD678" t="s">
        <v>3</v>
      </c>
      <c r="DE678" t="s">
        <v>3</v>
      </c>
      <c r="DF678" t="s">
        <v>3</v>
      </c>
      <c r="DG678" t="s">
        <v>3</v>
      </c>
      <c r="DH678" t="s">
        <v>3</v>
      </c>
      <c r="DI678" t="s">
        <v>3</v>
      </c>
      <c r="DJ678" t="s">
        <v>3</v>
      </c>
      <c r="DK678" t="s">
        <v>3</v>
      </c>
      <c r="DL678" t="s">
        <v>3</v>
      </c>
      <c r="DM678" t="s">
        <v>3</v>
      </c>
      <c r="DN678">
        <v>0</v>
      </c>
      <c r="DO678">
        <v>0</v>
      </c>
      <c r="DP678">
        <v>1</v>
      </c>
      <c r="DQ678">
        <v>1</v>
      </c>
      <c r="DU678">
        <v>1003</v>
      </c>
      <c r="DV678" t="s">
        <v>18</v>
      </c>
      <c r="DW678" t="s">
        <v>18</v>
      </c>
      <c r="DX678">
        <v>100</v>
      </c>
      <c r="DZ678" t="s">
        <v>3</v>
      </c>
      <c r="EA678" t="s">
        <v>3</v>
      </c>
      <c r="EB678" t="s">
        <v>3</v>
      </c>
      <c r="EC678" t="s">
        <v>3</v>
      </c>
      <c r="EE678">
        <v>1441815344</v>
      </c>
      <c r="EF678">
        <v>1</v>
      </c>
      <c r="EG678" t="s">
        <v>21</v>
      </c>
      <c r="EH678">
        <v>0</v>
      </c>
      <c r="EI678" t="s">
        <v>3</v>
      </c>
      <c r="EJ678">
        <v>4</v>
      </c>
      <c r="EK678">
        <v>0</v>
      </c>
      <c r="EL678" t="s">
        <v>22</v>
      </c>
      <c r="EM678" t="s">
        <v>23</v>
      </c>
      <c r="EO678" t="s">
        <v>3</v>
      </c>
      <c r="EQ678">
        <v>1024</v>
      </c>
      <c r="ER678">
        <v>176.66</v>
      </c>
      <c r="ES678">
        <v>0</v>
      </c>
      <c r="ET678">
        <v>0</v>
      </c>
      <c r="EU678">
        <v>0</v>
      </c>
      <c r="EV678">
        <v>176.66</v>
      </c>
      <c r="EW678">
        <v>0.33</v>
      </c>
      <c r="EX678">
        <v>0</v>
      </c>
      <c r="EY678">
        <v>0</v>
      </c>
      <c r="FQ678">
        <v>0</v>
      </c>
      <c r="FR678">
        <f t="shared" si="665"/>
        <v>0</v>
      </c>
      <c r="FS678">
        <v>0</v>
      </c>
      <c r="FX678">
        <v>70</v>
      </c>
      <c r="FY678">
        <v>10</v>
      </c>
      <c r="GA678" t="s">
        <v>3</v>
      </c>
      <c r="GD678">
        <v>0</v>
      </c>
      <c r="GF678">
        <v>-89122687</v>
      </c>
      <c r="GG678">
        <v>2</v>
      </c>
      <c r="GH678">
        <v>1</v>
      </c>
      <c r="GI678">
        <v>-2</v>
      </c>
      <c r="GJ678">
        <v>0</v>
      </c>
      <c r="GK678">
        <f>ROUND(R678*(R12)/100,2)</f>
        <v>0</v>
      </c>
      <c r="GL678">
        <f t="shared" si="666"/>
        <v>0</v>
      </c>
      <c r="GM678">
        <f t="shared" si="667"/>
        <v>779.07</v>
      </c>
      <c r="GN678">
        <f t="shared" si="668"/>
        <v>0</v>
      </c>
      <c r="GO678">
        <f t="shared" si="669"/>
        <v>0</v>
      </c>
      <c r="GP678">
        <f t="shared" si="670"/>
        <v>779.07</v>
      </c>
      <c r="GR678">
        <v>0</v>
      </c>
      <c r="GS678">
        <v>3</v>
      </c>
      <c r="GT678">
        <v>0</v>
      </c>
      <c r="GU678" t="s">
        <v>3</v>
      </c>
      <c r="GV678">
        <f t="shared" si="671"/>
        <v>0</v>
      </c>
      <c r="GW678">
        <v>1</v>
      </c>
      <c r="GX678">
        <f t="shared" si="672"/>
        <v>0</v>
      </c>
      <c r="HA678">
        <v>0</v>
      </c>
      <c r="HB678">
        <v>0</v>
      </c>
      <c r="HC678">
        <f t="shared" si="673"/>
        <v>0</v>
      </c>
      <c r="HE678" t="s">
        <v>3</v>
      </c>
      <c r="HF678" t="s">
        <v>3</v>
      </c>
      <c r="HM678" t="s">
        <v>3</v>
      </c>
      <c r="HN678" t="s">
        <v>3</v>
      </c>
      <c r="HO678" t="s">
        <v>3</v>
      </c>
      <c r="HP678" t="s">
        <v>3</v>
      </c>
      <c r="HQ678" t="s">
        <v>3</v>
      </c>
      <c r="IK678">
        <v>0</v>
      </c>
    </row>
    <row r="679" spans="1:245" x14ac:dyDescent="0.2">
      <c r="A679">
        <v>17</v>
      </c>
      <c r="B679">
        <v>1</v>
      </c>
      <c r="D679">
        <f>ROW(EtalonRes!A411)</f>
        <v>411</v>
      </c>
      <c r="E679" t="s">
        <v>3</v>
      </c>
      <c r="F679" t="s">
        <v>269</v>
      </c>
      <c r="G679" t="s">
        <v>354</v>
      </c>
      <c r="H679" t="s">
        <v>18</v>
      </c>
      <c r="I679">
        <f>ROUND((4+6)*10*0.1/100,9)</f>
        <v>0.1</v>
      </c>
      <c r="J679">
        <v>0</v>
      </c>
      <c r="K679">
        <f>ROUND((4+6)*10*0.1/100,9)</f>
        <v>0.1</v>
      </c>
      <c r="O679">
        <f t="shared" si="638"/>
        <v>596.45000000000005</v>
      </c>
      <c r="P679">
        <f t="shared" si="639"/>
        <v>2.25</v>
      </c>
      <c r="Q679">
        <f t="shared" si="640"/>
        <v>0</v>
      </c>
      <c r="R679">
        <f t="shared" si="641"/>
        <v>0</v>
      </c>
      <c r="S679">
        <f t="shared" si="642"/>
        <v>594.20000000000005</v>
      </c>
      <c r="T679">
        <f t="shared" si="643"/>
        <v>0</v>
      </c>
      <c r="U679">
        <f t="shared" si="644"/>
        <v>1.1100000000000001</v>
      </c>
      <c r="V679">
        <f t="shared" si="645"/>
        <v>0</v>
      </c>
      <c r="W679">
        <f t="shared" si="646"/>
        <v>0</v>
      </c>
      <c r="X679">
        <f t="shared" si="647"/>
        <v>415.94</v>
      </c>
      <c r="Y679">
        <f t="shared" si="647"/>
        <v>59.42</v>
      </c>
      <c r="AA679">
        <v>-1</v>
      </c>
      <c r="AB679">
        <f t="shared" si="648"/>
        <v>5964.51</v>
      </c>
      <c r="AC679">
        <f t="shared" si="649"/>
        <v>22.51</v>
      </c>
      <c r="AD679">
        <f t="shared" si="650"/>
        <v>0</v>
      </c>
      <c r="AE679">
        <f t="shared" si="651"/>
        <v>0</v>
      </c>
      <c r="AF679">
        <f t="shared" si="651"/>
        <v>5942</v>
      </c>
      <c r="AG679">
        <f t="shared" si="652"/>
        <v>0</v>
      </c>
      <c r="AH679">
        <f t="shared" si="653"/>
        <v>11.1</v>
      </c>
      <c r="AI679">
        <f t="shared" si="653"/>
        <v>0</v>
      </c>
      <c r="AJ679">
        <f t="shared" si="654"/>
        <v>0</v>
      </c>
      <c r="AK679">
        <v>5964.51</v>
      </c>
      <c r="AL679">
        <v>22.51</v>
      </c>
      <c r="AM679">
        <v>0</v>
      </c>
      <c r="AN679">
        <v>0</v>
      </c>
      <c r="AO679">
        <v>5942</v>
      </c>
      <c r="AP679">
        <v>0</v>
      </c>
      <c r="AQ679">
        <v>11.1</v>
      </c>
      <c r="AR679">
        <v>0</v>
      </c>
      <c r="AS679">
        <v>0</v>
      </c>
      <c r="AT679">
        <v>70</v>
      </c>
      <c r="AU679">
        <v>10</v>
      </c>
      <c r="AV679">
        <v>1</v>
      </c>
      <c r="AW679">
        <v>1</v>
      </c>
      <c r="AZ679">
        <v>1</v>
      </c>
      <c r="BA679">
        <v>1</v>
      </c>
      <c r="BB679">
        <v>1</v>
      </c>
      <c r="BC679">
        <v>1</v>
      </c>
      <c r="BD679" t="s">
        <v>3</v>
      </c>
      <c r="BE679" t="s">
        <v>3</v>
      </c>
      <c r="BF679" t="s">
        <v>3</v>
      </c>
      <c r="BG679" t="s">
        <v>3</v>
      </c>
      <c r="BH679">
        <v>0</v>
      </c>
      <c r="BI679">
        <v>4</v>
      </c>
      <c r="BJ679" t="s">
        <v>271</v>
      </c>
      <c r="BM679">
        <v>0</v>
      </c>
      <c r="BN679">
        <v>0</v>
      </c>
      <c r="BO679" t="s">
        <v>3</v>
      </c>
      <c r="BP679">
        <v>0</v>
      </c>
      <c r="BQ679">
        <v>1</v>
      </c>
      <c r="BR679">
        <v>0</v>
      </c>
      <c r="BS679">
        <v>1</v>
      </c>
      <c r="BT679">
        <v>1</v>
      </c>
      <c r="BU679">
        <v>1</v>
      </c>
      <c r="BV679">
        <v>1</v>
      </c>
      <c r="BW679">
        <v>1</v>
      </c>
      <c r="BX679">
        <v>1</v>
      </c>
      <c r="BY679" t="s">
        <v>3</v>
      </c>
      <c r="BZ679">
        <v>70</v>
      </c>
      <c r="CA679">
        <v>10</v>
      </c>
      <c r="CB679" t="s">
        <v>3</v>
      </c>
      <c r="CE679">
        <v>0</v>
      </c>
      <c r="CF679">
        <v>0</v>
      </c>
      <c r="CG679">
        <v>0</v>
      </c>
      <c r="CM679">
        <v>0</v>
      </c>
      <c r="CN679" t="s">
        <v>3</v>
      </c>
      <c r="CO679">
        <v>0</v>
      </c>
      <c r="CP679">
        <f t="shared" si="655"/>
        <v>596.45000000000005</v>
      </c>
      <c r="CQ679">
        <f t="shared" si="656"/>
        <v>22.51</v>
      </c>
      <c r="CR679">
        <f t="shared" si="657"/>
        <v>0</v>
      </c>
      <c r="CS679">
        <f t="shared" si="658"/>
        <v>0</v>
      </c>
      <c r="CT679">
        <f t="shared" si="659"/>
        <v>5942</v>
      </c>
      <c r="CU679">
        <f t="shared" si="660"/>
        <v>0</v>
      </c>
      <c r="CV679">
        <f t="shared" si="661"/>
        <v>11.1</v>
      </c>
      <c r="CW679">
        <f t="shared" si="662"/>
        <v>0</v>
      </c>
      <c r="CX679">
        <f t="shared" si="662"/>
        <v>0</v>
      </c>
      <c r="CY679">
        <f t="shared" si="663"/>
        <v>415.94</v>
      </c>
      <c r="CZ679">
        <f t="shared" si="664"/>
        <v>59.42</v>
      </c>
      <c r="DC679" t="s">
        <v>3</v>
      </c>
      <c r="DD679" t="s">
        <v>3</v>
      </c>
      <c r="DE679" t="s">
        <v>3</v>
      </c>
      <c r="DF679" t="s">
        <v>3</v>
      </c>
      <c r="DG679" t="s">
        <v>3</v>
      </c>
      <c r="DH679" t="s">
        <v>3</v>
      </c>
      <c r="DI679" t="s">
        <v>3</v>
      </c>
      <c r="DJ679" t="s">
        <v>3</v>
      </c>
      <c r="DK679" t="s">
        <v>3</v>
      </c>
      <c r="DL679" t="s">
        <v>3</v>
      </c>
      <c r="DM679" t="s">
        <v>3</v>
      </c>
      <c r="DN679">
        <v>0</v>
      </c>
      <c r="DO679">
        <v>0</v>
      </c>
      <c r="DP679">
        <v>1</v>
      </c>
      <c r="DQ679">
        <v>1</v>
      </c>
      <c r="DU679">
        <v>1003</v>
      </c>
      <c r="DV679" t="s">
        <v>18</v>
      </c>
      <c r="DW679" t="s">
        <v>18</v>
      </c>
      <c r="DX679">
        <v>100</v>
      </c>
      <c r="DZ679" t="s">
        <v>3</v>
      </c>
      <c r="EA679" t="s">
        <v>3</v>
      </c>
      <c r="EB679" t="s">
        <v>3</v>
      </c>
      <c r="EC679" t="s">
        <v>3</v>
      </c>
      <c r="EE679">
        <v>1441815344</v>
      </c>
      <c r="EF679">
        <v>1</v>
      </c>
      <c r="EG679" t="s">
        <v>21</v>
      </c>
      <c r="EH679">
        <v>0</v>
      </c>
      <c r="EI679" t="s">
        <v>3</v>
      </c>
      <c r="EJ679">
        <v>4</v>
      </c>
      <c r="EK679">
        <v>0</v>
      </c>
      <c r="EL679" t="s">
        <v>22</v>
      </c>
      <c r="EM679" t="s">
        <v>23</v>
      </c>
      <c r="EO679" t="s">
        <v>3</v>
      </c>
      <c r="EQ679">
        <v>1311744</v>
      </c>
      <c r="ER679">
        <v>5964.51</v>
      </c>
      <c r="ES679">
        <v>22.51</v>
      </c>
      <c r="ET679">
        <v>0</v>
      </c>
      <c r="EU679">
        <v>0</v>
      </c>
      <c r="EV679">
        <v>5942</v>
      </c>
      <c r="EW679">
        <v>11.1</v>
      </c>
      <c r="EX679">
        <v>0</v>
      </c>
      <c r="EY679">
        <v>0</v>
      </c>
      <c r="FQ679">
        <v>0</v>
      </c>
      <c r="FR679">
        <f t="shared" si="665"/>
        <v>0</v>
      </c>
      <c r="FS679">
        <v>0</v>
      </c>
      <c r="FX679">
        <v>70</v>
      </c>
      <c r="FY679">
        <v>10</v>
      </c>
      <c r="GA679" t="s">
        <v>3</v>
      </c>
      <c r="GD679">
        <v>0</v>
      </c>
      <c r="GF679">
        <v>2025558267</v>
      </c>
      <c r="GG679">
        <v>2</v>
      </c>
      <c r="GH679">
        <v>1</v>
      </c>
      <c r="GI679">
        <v>-2</v>
      </c>
      <c r="GJ679">
        <v>0</v>
      </c>
      <c r="GK679">
        <f>ROUND(R679*(R12)/100,2)</f>
        <v>0</v>
      </c>
      <c r="GL679">
        <f t="shared" si="666"/>
        <v>0</v>
      </c>
      <c r="GM679">
        <f t="shared" si="667"/>
        <v>1071.81</v>
      </c>
      <c r="GN679">
        <f t="shared" si="668"/>
        <v>0</v>
      </c>
      <c r="GO679">
        <f t="shared" si="669"/>
        <v>0</v>
      </c>
      <c r="GP679">
        <f t="shared" si="670"/>
        <v>1071.81</v>
      </c>
      <c r="GR679">
        <v>0</v>
      </c>
      <c r="GS679">
        <v>3</v>
      </c>
      <c r="GT679">
        <v>0</v>
      </c>
      <c r="GU679" t="s">
        <v>3</v>
      </c>
      <c r="GV679">
        <f t="shared" si="671"/>
        <v>0</v>
      </c>
      <c r="GW679">
        <v>1</v>
      </c>
      <c r="GX679">
        <f t="shared" si="672"/>
        <v>0</v>
      </c>
      <c r="HA679">
        <v>0</v>
      </c>
      <c r="HB679">
        <v>0</v>
      </c>
      <c r="HC679">
        <f t="shared" si="673"/>
        <v>0</v>
      </c>
      <c r="HE679" t="s">
        <v>3</v>
      </c>
      <c r="HF679" t="s">
        <v>3</v>
      </c>
      <c r="HM679" t="s">
        <v>3</v>
      </c>
      <c r="HN679" t="s">
        <v>3</v>
      </c>
      <c r="HO679" t="s">
        <v>3</v>
      </c>
      <c r="HP679" t="s">
        <v>3</v>
      </c>
      <c r="HQ679" t="s">
        <v>3</v>
      </c>
      <c r="IK679">
        <v>0</v>
      </c>
    </row>
    <row r="680" spans="1:245" x14ac:dyDescent="0.2">
      <c r="A680">
        <v>17</v>
      </c>
      <c r="B680">
        <v>1</v>
      </c>
      <c r="D680">
        <f>ROW(EtalonRes!A412)</f>
        <v>412</v>
      </c>
      <c r="E680" t="s">
        <v>3</v>
      </c>
      <c r="F680" t="s">
        <v>272</v>
      </c>
      <c r="G680" t="s">
        <v>273</v>
      </c>
      <c r="H680" t="s">
        <v>18</v>
      </c>
      <c r="I680">
        <f>ROUND((4+6)*10*0.1/100,9)</f>
        <v>0.1</v>
      </c>
      <c r="J680">
        <v>0</v>
      </c>
      <c r="K680">
        <f>ROUND((4+6)*10*0.1/100,9)</f>
        <v>0.1</v>
      </c>
      <c r="O680">
        <f t="shared" si="638"/>
        <v>20.34</v>
      </c>
      <c r="P680">
        <f t="shared" si="639"/>
        <v>0</v>
      </c>
      <c r="Q680">
        <f t="shared" si="640"/>
        <v>0</v>
      </c>
      <c r="R680">
        <f t="shared" si="641"/>
        <v>0</v>
      </c>
      <c r="S680">
        <f t="shared" si="642"/>
        <v>20.34</v>
      </c>
      <c r="T680">
        <f t="shared" si="643"/>
        <v>0</v>
      </c>
      <c r="U680">
        <f t="shared" si="644"/>
        <v>3.8000000000000006E-2</v>
      </c>
      <c r="V680">
        <f t="shared" si="645"/>
        <v>0</v>
      </c>
      <c r="W680">
        <f t="shared" si="646"/>
        <v>0</v>
      </c>
      <c r="X680">
        <f t="shared" si="647"/>
        <v>14.24</v>
      </c>
      <c r="Y680">
        <f t="shared" si="647"/>
        <v>2.0299999999999998</v>
      </c>
      <c r="AA680">
        <v>-1</v>
      </c>
      <c r="AB680">
        <f t="shared" si="648"/>
        <v>203.42</v>
      </c>
      <c r="AC680">
        <f t="shared" si="649"/>
        <v>0</v>
      </c>
      <c r="AD680">
        <f t="shared" si="650"/>
        <v>0</v>
      </c>
      <c r="AE680">
        <f t="shared" si="651"/>
        <v>0</v>
      </c>
      <c r="AF680">
        <f t="shared" si="651"/>
        <v>203.42</v>
      </c>
      <c r="AG680">
        <f t="shared" si="652"/>
        <v>0</v>
      </c>
      <c r="AH680">
        <f t="shared" si="653"/>
        <v>0.38</v>
      </c>
      <c r="AI680">
        <f t="shared" si="653"/>
        <v>0</v>
      </c>
      <c r="AJ680">
        <f t="shared" si="654"/>
        <v>0</v>
      </c>
      <c r="AK680">
        <v>203.42</v>
      </c>
      <c r="AL680">
        <v>0</v>
      </c>
      <c r="AM680">
        <v>0</v>
      </c>
      <c r="AN680">
        <v>0</v>
      </c>
      <c r="AO680">
        <v>203.42</v>
      </c>
      <c r="AP680">
        <v>0</v>
      </c>
      <c r="AQ680">
        <v>0.38</v>
      </c>
      <c r="AR680">
        <v>0</v>
      </c>
      <c r="AS680">
        <v>0</v>
      </c>
      <c r="AT680">
        <v>70</v>
      </c>
      <c r="AU680">
        <v>10</v>
      </c>
      <c r="AV680">
        <v>1</v>
      </c>
      <c r="AW680">
        <v>1</v>
      </c>
      <c r="AZ680">
        <v>1</v>
      </c>
      <c r="BA680">
        <v>1</v>
      </c>
      <c r="BB680">
        <v>1</v>
      </c>
      <c r="BC680">
        <v>1</v>
      </c>
      <c r="BD680" t="s">
        <v>3</v>
      </c>
      <c r="BE680" t="s">
        <v>3</v>
      </c>
      <c r="BF680" t="s">
        <v>3</v>
      </c>
      <c r="BG680" t="s">
        <v>3</v>
      </c>
      <c r="BH680">
        <v>0</v>
      </c>
      <c r="BI680">
        <v>4</v>
      </c>
      <c r="BJ680" t="s">
        <v>274</v>
      </c>
      <c r="BM680">
        <v>0</v>
      </c>
      <c r="BN680">
        <v>0</v>
      </c>
      <c r="BO680" t="s">
        <v>3</v>
      </c>
      <c r="BP680">
        <v>0</v>
      </c>
      <c r="BQ680">
        <v>1</v>
      </c>
      <c r="BR680">
        <v>0</v>
      </c>
      <c r="BS680">
        <v>1</v>
      </c>
      <c r="BT680">
        <v>1</v>
      </c>
      <c r="BU680">
        <v>1</v>
      </c>
      <c r="BV680">
        <v>1</v>
      </c>
      <c r="BW680">
        <v>1</v>
      </c>
      <c r="BX680">
        <v>1</v>
      </c>
      <c r="BY680" t="s">
        <v>3</v>
      </c>
      <c r="BZ680">
        <v>70</v>
      </c>
      <c r="CA680">
        <v>10</v>
      </c>
      <c r="CB680" t="s">
        <v>3</v>
      </c>
      <c r="CE680">
        <v>0</v>
      </c>
      <c r="CF680">
        <v>0</v>
      </c>
      <c r="CG680">
        <v>0</v>
      </c>
      <c r="CM680">
        <v>0</v>
      </c>
      <c r="CN680" t="s">
        <v>3</v>
      </c>
      <c r="CO680">
        <v>0</v>
      </c>
      <c r="CP680">
        <f t="shared" si="655"/>
        <v>20.34</v>
      </c>
      <c r="CQ680">
        <f t="shared" si="656"/>
        <v>0</v>
      </c>
      <c r="CR680">
        <f t="shared" si="657"/>
        <v>0</v>
      </c>
      <c r="CS680">
        <f t="shared" si="658"/>
        <v>0</v>
      </c>
      <c r="CT680">
        <f t="shared" si="659"/>
        <v>203.42</v>
      </c>
      <c r="CU680">
        <f t="shared" si="660"/>
        <v>0</v>
      </c>
      <c r="CV680">
        <f t="shared" si="661"/>
        <v>0.38</v>
      </c>
      <c r="CW680">
        <f t="shared" si="662"/>
        <v>0</v>
      </c>
      <c r="CX680">
        <f t="shared" si="662"/>
        <v>0</v>
      </c>
      <c r="CY680">
        <f t="shared" si="663"/>
        <v>14.238</v>
      </c>
      <c r="CZ680">
        <f t="shared" si="664"/>
        <v>2.0340000000000003</v>
      </c>
      <c r="DC680" t="s">
        <v>3</v>
      </c>
      <c r="DD680" t="s">
        <v>3</v>
      </c>
      <c r="DE680" t="s">
        <v>3</v>
      </c>
      <c r="DF680" t="s">
        <v>3</v>
      </c>
      <c r="DG680" t="s">
        <v>3</v>
      </c>
      <c r="DH680" t="s">
        <v>3</v>
      </c>
      <c r="DI680" t="s">
        <v>3</v>
      </c>
      <c r="DJ680" t="s">
        <v>3</v>
      </c>
      <c r="DK680" t="s">
        <v>3</v>
      </c>
      <c r="DL680" t="s">
        <v>3</v>
      </c>
      <c r="DM680" t="s">
        <v>3</v>
      </c>
      <c r="DN680">
        <v>0</v>
      </c>
      <c r="DO680">
        <v>0</v>
      </c>
      <c r="DP680">
        <v>1</v>
      </c>
      <c r="DQ680">
        <v>1</v>
      </c>
      <c r="DU680">
        <v>1003</v>
      </c>
      <c r="DV680" t="s">
        <v>18</v>
      </c>
      <c r="DW680" t="s">
        <v>18</v>
      </c>
      <c r="DX680">
        <v>100</v>
      </c>
      <c r="DZ680" t="s">
        <v>3</v>
      </c>
      <c r="EA680" t="s">
        <v>3</v>
      </c>
      <c r="EB680" t="s">
        <v>3</v>
      </c>
      <c r="EC680" t="s">
        <v>3</v>
      </c>
      <c r="EE680">
        <v>1441815344</v>
      </c>
      <c r="EF680">
        <v>1</v>
      </c>
      <c r="EG680" t="s">
        <v>21</v>
      </c>
      <c r="EH680">
        <v>0</v>
      </c>
      <c r="EI680" t="s">
        <v>3</v>
      </c>
      <c r="EJ680">
        <v>4</v>
      </c>
      <c r="EK680">
        <v>0</v>
      </c>
      <c r="EL680" t="s">
        <v>22</v>
      </c>
      <c r="EM680" t="s">
        <v>23</v>
      </c>
      <c r="EO680" t="s">
        <v>3</v>
      </c>
      <c r="EQ680">
        <v>1024</v>
      </c>
      <c r="ER680">
        <v>203.42</v>
      </c>
      <c r="ES680">
        <v>0</v>
      </c>
      <c r="ET680">
        <v>0</v>
      </c>
      <c r="EU680">
        <v>0</v>
      </c>
      <c r="EV680">
        <v>203.42</v>
      </c>
      <c r="EW680">
        <v>0.38</v>
      </c>
      <c r="EX680">
        <v>0</v>
      </c>
      <c r="EY680">
        <v>0</v>
      </c>
      <c r="FQ680">
        <v>0</v>
      </c>
      <c r="FR680">
        <f t="shared" si="665"/>
        <v>0</v>
      </c>
      <c r="FS680">
        <v>0</v>
      </c>
      <c r="FX680">
        <v>70</v>
      </c>
      <c r="FY680">
        <v>10</v>
      </c>
      <c r="GA680" t="s">
        <v>3</v>
      </c>
      <c r="GD680">
        <v>0</v>
      </c>
      <c r="GF680">
        <v>-1699704026</v>
      </c>
      <c r="GG680">
        <v>2</v>
      </c>
      <c r="GH680">
        <v>1</v>
      </c>
      <c r="GI680">
        <v>-2</v>
      </c>
      <c r="GJ680">
        <v>0</v>
      </c>
      <c r="GK680">
        <f>ROUND(R680*(R12)/100,2)</f>
        <v>0</v>
      </c>
      <c r="GL680">
        <f t="shared" si="666"/>
        <v>0</v>
      </c>
      <c r="GM680">
        <f t="shared" si="667"/>
        <v>36.61</v>
      </c>
      <c r="GN680">
        <f t="shared" si="668"/>
        <v>0</v>
      </c>
      <c r="GO680">
        <f t="shared" si="669"/>
        <v>0</v>
      </c>
      <c r="GP680">
        <f t="shared" si="670"/>
        <v>36.61</v>
      </c>
      <c r="GR680">
        <v>0</v>
      </c>
      <c r="GS680">
        <v>3</v>
      </c>
      <c r="GT680">
        <v>0</v>
      </c>
      <c r="GU680" t="s">
        <v>3</v>
      </c>
      <c r="GV680">
        <f t="shared" si="671"/>
        <v>0</v>
      </c>
      <c r="GW680">
        <v>1</v>
      </c>
      <c r="GX680">
        <f t="shared" si="672"/>
        <v>0</v>
      </c>
      <c r="HA680">
        <v>0</v>
      </c>
      <c r="HB680">
        <v>0</v>
      </c>
      <c r="HC680">
        <f t="shared" si="673"/>
        <v>0</v>
      </c>
      <c r="HE680" t="s">
        <v>3</v>
      </c>
      <c r="HF680" t="s">
        <v>3</v>
      </c>
      <c r="HM680" t="s">
        <v>3</v>
      </c>
      <c r="HN680" t="s">
        <v>3</v>
      </c>
      <c r="HO680" t="s">
        <v>3</v>
      </c>
      <c r="HP680" t="s">
        <v>3</v>
      </c>
      <c r="HQ680" t="s">
        <v>3</v>
      </c>
      <c r="IK680">
        <v>0</v>
      </c>
    </row>
    <row r="681" spans="1:245" x14ac:dyDescent="0.2">
      <c r="A681">
        <v>19</v>
      </c>
      <c r="B681">
        <v>1</v>
      </c>
      <c r="F681" t="s">
        <v>3</v>
      </c>
      <c r="G681" t="s">
        <v>389</v>
      </c>
      <c r="H681" t="s">
        <v>3</v>
      </c>
      <c r="AA681">
        <v>1</v>
      </c>
      <c r="IK681">
        <v>0</v>
      </c>
    </row>
    <row r="682" spans="1:245" x14ac:dyDescent="0.2">
      <c r="A682">
        <v>17</v>
      </c>
      <c r="B682">
        <v>1</v>
      </c>
      <c r="D682">
        <f>ROW(EtalonRes!A414)</f>
        <v>414</v>
      </c>
      <c r="E682" t="s">
        <v>390</v>
      </c>
      <c r="F682" t="s">
        <v>260</v>
      </c>
      <c r="G682" t="s">
        <v>356</v>
      </c>
      <c r="H682" t="s">
        <v>18</v>
      </c>
      <c r="I682">
        <f>ROUND(ROUND((5*10)*0.2*0.1/100,9),9)</f>
        <v>0.01</v>
      </c>
      <c r="J682">
        <v>0</v>
      </c>
      <c r="K682">
        <f>ROUND(ROUND((5*10)*0.2*0.1/100,9),9)</f>
        <v>0.01</v>
      </c>
      <c r="O682">
        <f>ROUND(CP682,2)</f>
        <v>53.76</v>
      </c>
      <c r="P682">
        <f>ROUND(CQ682*I682,2)</f>
        <v>0.23</v>
      </c>
      <c r="Q682">
        <f>ROUND(CR682*I682,2)</f>
        <v>0</v>
      </c>
      <c r="R682">
        <f>ROUND(CS682*I682,2)</f>
        <v>0</v>
      </c>
      <c r="S682">
        <f>ROUND(CT682*I682,2)</f>
        <v>53.53</v>
      </c>
      <c r="T682">
        <f>ROUND(CU682*I682,2)</f>
        <v>0</v>
      </c>
      <c r="U682">
        <f>CV682*I682</f>
        <v>0.1</v>
      </c>
      <c r="V682">
        <f>CW682*I682</f>
        <v>0</v>
      </c>
      <c r="W682">
        <f>ROUND(CX682*I682,2)</f>
        <v>0</v>
      </c>
      <c r="X682">
        <f>ROUND(CY682,2)</f>
        <v>37.47</v>
      </c>
      <c r="Y682">
        <f>ROUND(CZ682,2)</f>
        <v>5.35</v>
      </c>
      <c r="AA682">
        <v>1471718271</v>
      </c>
      <c r="AB682">
        <f>ROUND((AC682+AD682+AF682),6)</f>
        <v>5375.66</v>
      </c>
      <c r="AC682">
        <f>ROUND((ES682),6)</f>
        <v>22.51</v>
      </c>
      <c r="AD682">
        <f>ROUND((((ET682)-(EU682))+AE682),6)</f>
        <v>0</v>
      </c>
      <c r="AE682">
        <f>ROUND((EU682),6)</f>
        <v>0</v>
      </c>
      <c r="AF682">
        <f>ROUND((EV682),6)</f>
        <v>5353.15</v>
      </c>
      <c r="AG682">
        <f>ROUND((AP682),6)</f>
        <v>0</v>
      </c>
      <c r="AH682">
        <f>(EW682)</f>
        <v>10</v>
      </c>
      <c r="AI682">
        <f>(EX682)</f>
        <v>0</v>
      </c>
      <c r="AJ682">
        <f>(AS682)</f>
        <v>0</v>
      </c>
      <c r="AK682">
        <v>5375.66</v>
      </c>
      <c r="AL682">
        <v>22.51</v>
      </c>
      <c r="AM682">
        <v>0</v>
      </c>
      <c r="AN682">
        <v>0</v>
      </c>
      <c r="AO682">
        <v>5353.15</v>
      </c>
      <c r="AP682">
        <v>0</v>
      </c>
      <c r="AQ682">
        <v>10</v>
      </c>
      <c r="AR682">
        <v>0</v>
      </c>
      <c r="AS682">
        <v>0</v>
      </c>
      <c r="AT682">
        <v>70</v>
      </c>
      <c r="AU682">
        <v>10</v>
      </c>
      <c r="AV682">
        <v>1</v>
      </c>
      <c r="AW682">
        <v>1</v>
      </c>
      <c r="AZ682">
        <v>1</v>
      </c>
      <c r="BA682">
        <v>1</v>
      </c>
      <c r="BB682">
        <v>1</v>
      </c>
      <c r="BC682">
        <v>1</v>
      </c>
      <c r="BD682" t="s">
        <v>3</v>
      </c>
      <c r="BE682" t="s">
        <v>3</v>
      </c>
      <c r="BF682" t="s">
        <v>3</v>
      </c>
      <c r="BG682" t="s">
        <v>3</v>
      </c>
      <c r="BH682">
        <v>0</v>
      </c>
      <c r="BI682">
        <v>4</v>
      </c>
      <c r="BJ682" t="s">
        <v>262</v>
      </c>
      <c r="BM682">
        <v>0</v>
      </c>
      <c r="BN682">
        <v>0</v>
      </c>
      <c r="BO682" t="s">
        <v>3</v>
      </c>
      <c r="BP682">
        <v>0</v>
      </c>
      <c r="BQ682">
        <v>1</v>
      </c>
      <c r="BR682">
        <v>0</v>
      </c>
      <c r="BS682">
        <v>1</v>
      </c>
      <c r="BT682">
        <v>1</v>
      </c>
      <c r="BU682">
        <v>1</v>
      </c>
      <c r="BV682">
        <v>1</v>
      </c>
      <c r="BW682">
        <v>1</v>
      </c>
      <c r="BX682">
        <v>1</v>
      </c>
      <c r="BY682" t="s">
        <v>3</v>
      </c>
      <c r="BZ682">
        <v>70</v>
      </c>
      <c r="CA682">
        <v>10</v>
      </c>
      <c r="CB682" t="s">
        <v>3</v>
      </c>
      <c r="CE682">
        <v>0</v>
      </c>
      <c r="CF682">
        <v>0</v>
      </c>
      <c r="CG682">
        <v>0</v>
      </c>
      <c r="CM682">
        <v>0</v>
      </c>
      <c r="CN682" t="s">
        <v>3</v>
      </c>
      <c r="CO682">
        <v>0</v>
      </c>
      <c r="CP682">
        <f>(P682+Q682+S682)</f>
        <v>53.76</v>
      </c>
      <c r="CQ682">
        <f>(AC682*BC682*AW682)</f>
        <v>22.51</v>
      </c>
      <c r="CR682">
        <f>((((ET682)*BB682-(EU682)*BS682)+AE682*BS682)*AV682)</f>
        <v>0</v>
      </c>
      <c r="CS682">
        <f>(AE682*BS682*AV682)</f>
        <v>0</v>
      </c>
      <c r="CT682">
        <f>(AF682*BA682*AV682)</f>
        <v>5353.15</v>
      </c>
      <c r="CU682">
        <f>AG682</f>
        <v>0</v>
      </c>
      <c r="CV682">
        <f>(AH682*AV682)</f>
        <v>10</v>
      </c>
      <c r="CW682">
        <f>AI682</f>
        <v>0</v>
      </c>
      <c r="CX682">
        <f>AJ682</f>
        <v>0</v>
      </c>
      <c r="CY682">
        <f>((S682*BZ682)/100)</f>
        <v>37.470999999999997</v>
      </c>
      <c r="CZ682">
        <f>((S682*CA682)/100)</f>
        <v>5.3529999999999998</v>
      </c>
      <c r="DC682" t="s">
        <v>3</v>
      </c>
      <c r="DD682" t="s">
        <v>3</v>
      </c>
      <c r="DE682" t="s">
        <v>3</v>
      </c>
      <c r="DF682" t="s">
        <v>3</v>
      </c>
      <c r="DG682" t="s">
        <v>3</v>
      </c>
      <c r="DH682" t="s">
        <v>3</v>
      </c>
      <c r="DI682" t="s">
        <v>3</v>
      </c>
      <c r="DJ682" t="s">
        <v>3</v>
      </c>
      <c r="DK682" t="s">
        <v>3</v>
      </c>
      <c r="DL682" t="s">
        <v>3</v>
      </c>
      <c r="DM682" t="s">
        <v>3</v>
      </c>
      <c r="DN682">
        <v>0</v>
      </c>
      <c r="DO682">
        <v>0</v>
      </c>
      <c r="DP682">
        <v>1</v>
      </c>
      <c r="DQ682">
        <v>1</v>
      </c>
      <c r="DU682">
        <v>1003</v>
      </c>
      <c r="DV682" t="s">
        <v>18</v>
      </c>
      <c r="DW682" t="s">
        <v>18</v>
      </c>
      <c r="DX682">
        <v>100</v>
      </c>
      <c r="DZ682" t="s">
        <v>3</v>
      </c>
      <c r="EA682" t="s">
        <v>3</v>
      </c>
      <c r="EB682" t="s">
        <v>3</v>
      </c>
      <c r="EC682" t="s">
        <v>3</v>
      </c>
      <c r="EE682">
        <v>1441815344</v>
      </c>
      <c r="EF682">
        <v>1</v>
      </c>
      <c r="EG682" t="s">
        <v>21</v>
      </c>
      <c r="EH682">
        <v>0</v>
      </c>
      <c r="EI682" t="s">
        <v>3</v>
      </c>
      <c r="EJ682">
        <v>4</v>
      </c>
      <c r="EK682">
        <v>0</v>
      </c>
      <c r="EL682" t="s">
        <v>22</v>
      </c>
      <c r="EM682" t="s">
        <v>23</v>
      </c>
      <c r="EO682" t="s">
        <v>3</v>
      </c>
      <c r="EQ682">
        <v>0</v>
      </c>
      <c r="ER682">
        <v>5375.66</v>
      </c>
      <c r="ES682">
        <v>22.51</v>
      </c>
      <c r="ET682">
        <v>0</v>
      </c>
      <c r="EU682">
        <v>0</v>
      </c>
      <c r="EV682">
        <v>5353.15</v>
      </c>
      <c r="EW682">
        <v>10</v>
      </c>
      <c r="EX682">
        <v>0</v>
      </c>
      <c r="EY682">
        <v>0</v>
      </c>
      <c r="FQ682">
        <v>0</v>
      </c>
      <c r="FR682">
        <f>ROUND(IF(BI682=3,GM682,0),2)</f>
        <v>0</v>
      </c>
      <c r="FS682">
        <v>0</v>
      </c>
      <c r="FX682">
        <v>70</v>
      </c>
      <c r="FY682">
        <v>10</v>
      </c>
      <c r="GA682" t="s">
        <v>3</v>
      </c>
      <c r="GD682">
        <v>0</v>
      </c>
      <c r="GF682">
        <v>439801574</v>
      </c>
      <c r="GG682">
        <v>2</v>
      </c>
      <c r="GH682">
        <v>1</v>
      </c>
      <c r="GI682">
        <v>-2</v>
      </c>
      <c r="GJ682">
        <v>0</v>
      </c>
      <c r="GK682">
        <f>ROUND(R682*(R12)/100,2)</f>
        <v>0</v>
      </c>
      <c r="GL682">
        <f>ROUND(IF(AND(BH682=3,BI682=3,FS682&lt;&gt;0),P682,0),2)</f>
        <v>0</v>
      </c>
      <c r="GM682">
        <f>ROUND(O682+X682+Y682+GK682,2)+GX682</f>
        <v>96.58</v>
      </c>
      <c r="GN682">
        <f>IF(OR(BI682=0,BI682=1),GM682-GX682,0)</f>
        <v>0</v>
      </c>
      <c r="GO682">
        <f>IF(BI682=2,GM682-GX682,0)</f>
        <v>0</v>
      </c>
      <c r="GP682">
        <f>IF(BI682=4,GM682-GX682,0)</f>
        <v>96.58</v>
      </c>
      <c r="GR682">
        <v>0</v>
      </c>
      <c r="GS682">
        <v>3</v>
      </c>
      <c r="GT682">
        <v>0</v>
      </c>
      <c r="GU682" t="s">
        <v>3</v>
      </c>
      <c r="GV682">
        <f>ROUND((GT682),6)</f>
        <v>0</v>
      </c>
      <c r="GW682">
        <v>1</v>
      </c>
      <c r="GX682">
        <f>ROUND(HC682*I682,2)</f>
        <v>0</v>
      </c>
      <c r="HA682">
        <v>0</v>
      </c>
      <c r="HB682">
        <v>0</v>
      </c>
      <c r="HC682">
        <f>GV682*GW682</f>
        <v>0</v>
      </c>
      <c r="HE682" t="s">
        <v>3</v>
      </c>
      <c r="HF682" t="s">
        <v>3</v>
      </c>
      <c r="HM682" t="s">
        <v>3</v>
      </c>
      <c r="HN682" t="s">
        <v>3</v>
      </c>
      <c r="HO682" t="s">
        <v>3</v>
      </c>
      <c r="HP682" t="s">
        <v>3</v>
      </c>
      <c r="HQ682" t="s">
        <v>3</v>
      </c>
      <c r="IK682">
        <v>0</v>
      </c>
    </row>
    <row r="683" spans="1:245" x14ac:dyDescent="0.2">
      <c r="A683">
        <v>17</v>
      </c>
      <c r="B683">
        <v>1</v>
      </c>
      <c r="D683">
        <f>ROW(EtalonRes!A415)</f>
        <v>415</v>
      </c>
      <c r="E683" t="s">
        <v>3</v>
      </c>
      <c r="F683" t="s">
        <v>263</v>
      </c>
      <c r="G683" t="s">
        <v>282</v>
      </c>
      <c r="H683" t="s">
        <v>18</v>
      </c>
      <c r="I683">
        <f>ROUND(5*10*0.1/100,9)</f>
        <v>0.05</v>
      </c>
      <c r="J683">
        <v>0</v>
      </c>
      <c r="K683">
        <f>ROUND(5*10*0.1/100,9)</f>
        <v>0.05</v>
      </c>
      <c r="O683">
        <f>ROUND(CP683,2)</f>
        <v>8.83</v>
      </c>
      <c r="P683">
        <f>ROUND(CQ683*I683,2)</f>
        <v>0</v>
      </c>
      <c r="Q683">
        <f>ROUND(CR683*I683,2)</f>
        <v>0</v>
      </c>
      <c r="R683">
        <f>ROUND(CS683*I683,2)</f>
        <v>0</v>
      </c>
      <c r="S683">
        <f>ROUND(CT683*I683,2)</f>
        <v>8.83</v>
      </c>
      <c r="T683">
        <f>ROUND(CU683*I683,2)</f>
        <v>0</v>
      </c>
      <c r="U683">
        <f>CV683*I683</f>
        <v>1.6500000000000001E-2</v>
      </c>
      <c r="V683">
        <f>CW683*I683</f>
        <v>0</v>
      </c>
      <c r="W683">
        <f>ROUND(CX683*I683,2)</f>
        <v>0</v>
      </c>
      <c r="X683">
        <f>ROUND(CY683,2)</f>
        <v>6.18</v>
      </c>
      <c r="Y683">
        <f>ROUND(CZ683,2)</f>
        <v>0.88</v>
      </c>
      <c r="AA683">
        <v>-1</v>
      </c>
      <c r="AB683">
        <f>ROUND((AC683+AD683+AF683),6)</f>
        <v>176.66</v>
      </c>
      <c r="AC683">
        <f>ROUND((ES683),6)</f>
        <v>0</v>
      </c>
      <c r="AD683">
        <f>ROUND((((ET683)-(EU683))+AE683),6)</f>
        <v>0</v>
      </c>
      <c r="AE683">
        <f>ROUND((EU683),6)</f>
        <v>0</v>
      </c>
      <c r="AF683">
        <f>ROUND((EV683),6)</f>
        <v>176.66</v>
      </c>
      <c r="AG683">
        <f>ROUND((AP683),6)</f>
        <v>0</v>
      </c>
      <c r="AH683">
        <f>(EW683)</f>
        <v>0.33</v>
      </c>
      <c r="AI683">
        <f>(EX683)</f>
        <v>0</v>
      </c>
      <c r="AJ683">
        <f>(AS683)</f>
        <v>0</v>
      </c>
      <c r="AK683">
        <v>176.66</v>
      </c>
      <c r="AL683">
        <v>0</v>
      </c>
      <c r="AM683">
        <v>0</v>
      </c>
      <c r="AN683">
        <v>0</v>
      </c>
      <c r="AO683">
        <v>176.66</v>
      </c>
      <c r="AP683">
        <v>0</v>
      </c>
      <c r="AQ683">
        <v>0.33</v>
      </c>
      <c r="AR683">
        <v>0</v>
      </c>
      <c r="AS683">
        <v>0</v>
      </c>
      <c r="AT683">
        <v>70</v>
      </c>
      <c r="AU683">
        <v>10</v>
      </c>
      <c r="AV683">
        <v>1</v>
      </c>
      <c r="AW683">
        <v>1</v>
      </c>
      <c r="AZ683">
        <v>1</v>
      </c>
      <c r="BA683">
        <v>1</v>
      </c>
      <c r="BB683">
        <v>1</v>
      </c>
      <c r="BC683">
        <v>1</v>
      </c>
      <c r="BD683" t="s">
        <v>3</v>
      </c>
      <c r="BE683" t="s">
        <v>3</v>
      </c>
      <c r="BF683" t="s">
        <v>3</v>
      </c>
      <c r="BG683" t="s">
        <v>3</v>
      </c>
      <c r="BH683">
        <v>0</v>
      </c>
      <c r="BI683">
        <v>4</v>
      </c>
      <c r="BJ683" t="s">
        <v>265</v>
      </c>
      <c r="BM683">
        <v>0</v>
      </c>
      <c r="BN683">
        <v>0</v>
      </c>
      <c r="BO683" t="s">
        <v>3</v>
      </c>
      <c r="BP683">
        <v>0</v>
      </c>
      <c r="BQ683">
        <v>1</v>
      </c>
      <c r="BR683">
        <v>0</v>
      </c>
      <c r="BS683">
        <v>1</v>
      </c>
      <c r="BT683">
        <v>1</v>
      </c>
      <c r="BU683">
        <v>1</v>
      </c>
      <c r="BV683">
        <v>1</v>
      </c>
      <c r="BW683">
        <v>1</v>
      </c>
      <c r="BX683">
        <v>1</v>
      </c>
      <c r="BY683" t="s">
        <v>3</v>
      </c>
      <c r="BZ683">
        <v>70</v>
      </c>
      <c r="CA683">
        <v>10</v>
      </c>
      <c r="CB683" t="s">
        <v>3</v>
      </c>
      <c r="CE683">
        <v>0</v>
      </c>
      <c r="CF683">
        <v>0</v>
      </c>
      <c r="CG683">
        <v>0</v>
      </c>
      <c r="CM683">
        <v>0</v>
      </c>
      <c r="CN683" t="s">
        <v>3</v>
      </c>
      <c r="CO683">
        <v>0</v>
      </c>
      <c r="CP683">
        <f>(P683+Q683+S683)</f>
        <v>8.83</v>
      </c>
      <c r="CQ683">
        <f>(AC683*BC683*AW683)</f>
        <v>0</v>
      </c>
      <c r="CR683">
        <f>((((ET683)*BB683-(EU683)*BS683)+AE683*BS683)*AV683)</f>
        <v>0</v>
      </c>
      <c r="CS683">
        <f>(AE683*BS683*AV683)</f>
        <v>0</v>
      </c>
      <c r="CT683">
        <f>(AF683*BA683*AV683)</f>
        <v>176.66</v>
      </c>
      <c r="CU683">
        <f>AG683</f>
        <v>0</v>
      </c>
      <c r="CV683">
        <f>(AH683*AV683)</f>
        <v>0.33</v>
      </c>
      <c r="CW683">
        <f>AI683</f>
        <v>0</v>
      </c>
      <c r="CX683">
        <f>AJ683</f>
        <v>0</v>
      </c>
      <c r="CY683">
        <f>((S683*BZ683)/100)</f>
        <v>6.181</v>
      </c>
      <c r="CZ683">
        <f>((S683*CA683)/100)</f>
        <v>0.88300000000000001</v>
      </c>
      <c r="DC683" t="s">
        <v>3</v>
      </c>
      <c r="DD683" t="s">
        <v>3</v>
      </c>
      <c r="DE683" t="s">
        <v>3</v>
      </c>
      <c r="DF683" t="s">
        <v>3</v>
      </c>
      <c r="DG683" t="s">
        <v>3</v>
      </c>
      <c r="DH683" t="s">
        <v>3</v>
      </c>
      <c r="DI683" t="s">
        <v>3</v>
      </c>
      <c r="DJ683" t="s">
        <v>3</v>
      </c>
      <c r="DK683" t="s">
        <v>3</v>
      </c>
      <c r="DL683" t="s">
        <v>3</v>
      </c>
      <c r="DM683" t="s">
        <v>3</v>
      </c>
      <c r="DN683">
        <v>0</v>
      </c>
      <c r="DO683">
        <v>0</v>
      </c>
      <c r="DP683">
        <v>1</v>
      </c>
      <c r="DQ683">
        <v>1</v>
      </c>
      <c r="DU683">
        <v>1003</v>
      </c>
      <c r="DV683" t="s">
        <v>18</v>
      </c>
      <c r="DW683" t="s">
        <v>18</v>
      </c>
      <c r="DX683">
        <v>100</v>
      </c>
      <c r="DZ683" t="s">
        <v>3</v>
      </c>
      <c r="EA683" t="s">
        <v>3</v>
      </c>
      <c r="EB683" t="s">
        <v>3</v>
      </c>
      <c r="EC683" t="s">
        <v>3</v>
      </c>
      <c r="EE683">
        <v>1441815344</v>
      </c>
      <c r="EF683">
        <v>1</v>
      </c>
      <c r="EG683" t="s">
        <v>21</v>
      </c>
      <c r="EH683">
        <v>0</v>
      </c>
      <c r="EI683" t="s">
        <v>3</v>
      </c>
      <c r="EJ683">
        <v>4</v>
      </c>
      <c r="EK683">
        <v>0</v>
      </c>
      <c r="EL683" t="s">
        <v>22</v>
      </c>
      <c r="EM683" t="s">
        <v>23</v>
      </c>
      <c r="EO683" t="s">
        <v>3</v>
      </c>
      <c r="EQ683">
        <v>1024</v>
      </c>
      <c r="ER683">
        <v>176.66</v>
      </c>
      <c r="ES683">
        <v>0</v>
      </c>
      <c r="ET683">
        <v>0</v>
      </c>
      <c r="EU683">
        <v>0</v>
      </c>
      <c r="EV683">
        <v>176.66</v>
      </c>
      <c r="EW683">
        <v>0.33</v>
      </c>
      <c r="EX683">
        <v>0</v>
      </c>
      <c r="EY683">
        <v>0</v>
      </c>
      <c r="FQ683">
        <v>0</v>
      </c>
      <c r="FR683">
        <f>ROUND(IF(BI683=3,GM683,0),2)</f>
        <v>0</v>
      </c>
      <c r="FS683">
        <v>0</v>
      </c>
      <c r="FX683">
        <v>70</v>
      </c>
      <c r="FY683">
        <v>10</v>
      </c>
      <c r="GA683" t="s">
        <v>3</v>
      </c>
      <c r="GD683">
        <v>0</v>
      </c>
      <c r="GF683">
        <v>-1250954649</v>
      </c>
      <c r="GG683">
        <v>2</v>
      </c>
      <c r="GH683">
        <v>1</v>
      </c>
      <c r="GI683">
        <v>-2</v>
      </c>
      <c r="GJ683">
        <v>0</v>
      </c>
      <c r="GK683">
        <f>ROUND(R683*(R12)/100,2)</f>
        <v>0</v>
      </c>
      <c r="GL683">
        <f>ROUND(IF(AND(BH683=3,BI683=3,FS683&lt;&gt;0),P683,0),2)</f>
        <v>0</v>
      </c>
      <c r="GM683">
        <f>ROUND(O683+X683+Y683+GK683,2)+GX683</f>
        <v>15.89</v>
      </c>
      <c r="GN683">
        <f>IF(OR(BI683=0,BI683=1),GM683-GX683,0)</f>
        <v>0</v>
      </c>
      <c r="GO683">
        <f>IF(BI683=2,GM683-GX683,0)</f>
        <v>0</v>
      </c>
      <c r="GP683">
        <f>IF(BI683=4,GM683-GX683,0)</f>
        <v>15.89</v>
      </c>
      <c r="GR683">
        <v>0</v>
      </c>
      <c r="GS683">
        <v>3</v>
      </c>
      <c r="GT683">
        <v>0</v>
      </c>
      <c r="GU683" t="s">
        <v>3</v>
      </c>
      <c r="GV683">
        <f>ROUND((GT683),6)</f>
        <v>0</v>
      </c>
      <c r="GW683">
        <v>1</v>
      </c>
      <c r="GX683">
        <f>ROUND(HC683*I683,2)</f>
        <v>0</v>
      </c>
      <c r="HA683">
        <v>0</v>
      </c>
      <c r="HB683">
        <v>0</v>
      </c>
      <c r="HC683">
        <f>GV683*GW683</f>
        <v>0</v>
      </c>
      <c r="HE683" t="s">
        <v>3</v>
      </c>
      <c r="HF683" t="s">
        <v>3</v>
      </c>
      <c r="HM683" t="s">
        <v>3</v>
      </c>
      <c r="HN683" t="s">
        <v>3</v>
      </c>
      <c r="HO683" t="s">
        <v>3</v>
      </c>
      <c r="HP683" t="s">
        <v>3</v>
      </c>
      <c r="HQ683" t="s">
        <v>3</v>
      </c>
      <c r="IK683">
        <v>0</v>
      </c>
    </row>
    <row r="685" spans="1:245" x14ac:dyDescent="0.2">
      <c r="A685" s="2">
        <v>51</v>
      </c>
      <c r="B685" s="2">
        <f>B646</f>
        <v>1</v>
      </c>
      <c r="C685" s="2">
        <f>A646</f>
        <v>5</v>
      </c>
      <c r="D685" s="2">
        <f>ROW(A646)</f>
        <v>646</v>
      </c>
      <c r="E685" s="2"/>
      <c r="F685" s="2" t="str">
        <f>IF(F646&lt;&gt;"",F646,"")</f>
        <v>Новый подраздел</v>
      </c>
      <c r="G685" s="2" t="str">
        <f>IF(G646&lt;&gt;"",G646,"")</f>
        <v>Система электроснабжения</v>
      </c>
      <c r="H685" s="2">
        <v>0</v>
      </c>
      <c r="I685" s="2"/>
      <c r="J685" s="2"/>
      <c r="K685" s="2"/>
      <c r="L685" s="2"/>
      <c r="M685" s="2"/>
      <c r="N685" s="2"/>
      <c r="O685" s="2">
        <f t="shared" ref="O685:T685" si="674">ROUND(AB685,2)</f>
        <v>369087.09</v>
      </c>
      <c r="P685" s="2">
        <f t="shared" si="674"/>
        <v>3274.93</v>
      </c>
      <c r="Q685" s="2">
        <f t="shared" si="674"/>
        <v>5837.5</v>
      </c>
      <c r="R685" s="2">
        <f t="shared" si="674"/>
        <v>3701.38</v>
      </c>
      <c r="S685" s="2">
        <f t="shared" si="674"/>
        <v>359974.66</v>
      </c>
      <c r="T685" s="2">
        <f t="shared" si="674"/>
        <v>0</v>
      </c>
      <c r="U685" s="2">
        <f>AH685</f>
        <v>593.2879999999999</v>
      </c>
      <c r="V685" s="2">
        <f>AI685</f>
        <v>0</v>
      </c>
      <c r="W685" s="2">
        <f>ROUND(AJ685,2)</f>
        <v>0</v>
      </c>
      <c r="X685" s="2">
        <f>ROUND(AK685,2)</f>
        <v>251982.28</v>
      </c>
      <c r="Y685" s="2">
        <f>ROUND(AL685,2)</f>
        <v>35997.46</v>
      </c>
      <c r="Z685" s="2"/>
      <c r="AA685" s="2"/>
      <c r="AB685" s="2">
        <f>ROUND(SUMIF(AA650:AA683,"=1471718271",O650:O683),2)</f>
        <v>369087.09</v>
      </c>
      <c r="AC685" s="2">
        <f>ROUND(SUMIF(AA650:AA683,"=1471718271",P650:P683),2)</f>
        <v>3274.93</v>
      </c>
      <c r="AD685" s="2">
        <f>ROUND(SUMIF(AA650:AA683,"=1471718271",Q650:Q683),2)</f>
        <v>5837.5</v>
      </c>
      <c r="AE685" s="2">
        <f>ROUND(SUMIF(AA650:AA683,"=1471718271",R650:R683),2)</f>
        <v>3701.38</v>
      </c>
      <c r="AF685" s="2">
        <f>ROUND(SUMIF(AA650:AA683,"=1471718271",S650:S683),2)</f>
        <v>359974.66</v>
      </c>
      <c r="AG685" s="2">
        <f>ROUND(SUMIF(AA650:AA683,"=1471718271",T650:T683),2)</f>
        <v>0</v>
      </c>
      <c r="AH685" s="2">
        <f>SUMIF(AA650:AA683,"=1471718271",U650:U683)</f>
        <v>593.2879999999999</v>
      </c>
      <c r="AI685" s="2">
        <f>SUMIF(AA650:AA683,"=1471718271",V650:V683)</f>
        <v>0</v>
      </c>
      <c r="AJ685" s="2">
        <f>ROUND(SUMIF(AA650:AA683,"=1471718271",W650:W683),2)</f>
        <v>0</v>
      </c>
      <c r="AK685" s="2">
        <f>ROUND(SUMIF(AA650:AA683,"=1471718271",X650:X683),2)</f>
        <v>251982.28</v>
      </c>
      <c r="AL685" s="2">
        <f>ROUND(SUMIF(AA650:AA683,"=1471718271",Y650:Y683),2)</f>
        <v>35997.46</v>
      </c>
      <c r="AM685" s="2"/>
      <c r="AN685" s="2"/>
      <c r="AO685" s="2">
        <f t="shared" ref="AO685:BD685" si="675">ROUND(BX685,2)</f>
        <v>0</v>
      </c>
      <c r="AP685" s="2">
        <f t="shared" si="675"/>
        <v>0</v>
      </c>
      <c r="AQ685" s="2">
        <f t="shared" si="675"/>
        <v>0</v>
      </c>
      <c r="AR685" s="2">
        <f t="shared" si="675"/>
        <v>661064.31999999995</v>
      </c>
      <c r="AS685" s="2">
        <f t="shared" si="675"/>
        <v>0</v>
      </c>
      <c r="AT685" s="2">
        <f t="shared" si="675"/>
        <v>0</v>
      </c>
      <c r="AU685" s="2">
        <f t="shared" si="675"/>
        <v>661064.31999999995</v>
      </c>
      <c r="AV685" s="2">
        <f t="shared" si="675"/>
        <v>3274.93</v>
      </c>
      <c r="AW685" s="2">
        <f t="shared" si="675"/>
        <v>3274.93</v>
      </c>
      <c r="AX685" s="2">
        <f t="shared" si="675"/>
        <v>0</v>
      </c>
      <c r="AY685" s="2">
        <f t="shared" si="675"/>
        <v>3274.93</v>
      </c>
      <c r="AZ685" s="2">
        <f t="shared" si="675"/>
        <v>0</v>
      </c>
      <c r="BA685" s="2">
        <f t="shared" si="675"/>
        <v>0</v>
      </c>
      <c r="BB685" s="2">
        <f t="shared" si="675"/>
        <v>0</v>
      </c>
      <c r="BC685" s="2">
        <f t="shared" si="675"/>
        <v>0</v>
      </c>
      <c r="BD685" s="2">
        <f t="shared" si="675"/>
        <v>0</v>
      </c>
      <c r="BE685" s="2"/>
      <c r="BF685" s="2"/>
      <c r="BG685" s="2"/>
      <c r="BH685" s="2"/>
      <c r="BI685" s="2"/>
      <c r="BJ685" s="2"/>
      <c r="BK685" s="2"/>
      <c r="BL685" s="2"/>
      <c r="BM685" s="2"/>
      <c r="BN685" s="2"/>
      <c r="BO685" s="2"/>
      <c r="BP685" s="2"/>
      <c r="BQ685" s="2"/>
      <c r="BR685" s="2"/>
      <c r="BS685" s="2"/>
      <c r="BT685" s="2"/>
      <c r="BU685" s="2"/>
      <c r="BV685" s="2"/>
      <c r="BW685" s="2"/>
      <c r="BX685" s="2">
        <f>ROUND(SUMIF(AA650:AA683,"=1471718271",FQ650:FQ683),2)</f>
        <v>0</v>
      </c>
      <c r="BY685" s="2">
        <f>ROUND(SUMIF(AA650:AA683,"=1471718271",FR650:FR683),2)</f>
        <v>0</v>
      </c>
      <c r="BZ685" s="2">
        <f>ROUND(SUMIF(AA650:AA683,"=1471718271",GL650:GL683),2)</f>
        <v>0</v>
      </c>
      <c r="CA685" s="2">
        <f>ROUND(SUMIF(AA650:AA683,"=1471718271",GM650:GM683),2)</f>
        <v>661064.31999999995</v>
      </c>
      <c r="CB685" s="2">
        <f>ROUND(SUMIF(AA650:AA683,"=1471718271",GN650:GN683),2)</f>
        <v>0</v>
      </c>
      <c r="CC685" s="2">
        <f>ROUND(SUMIF(AA650:AA683,"=1471718271",GO650:GO683),2)</f>
        <v>0</v>
      </c>
      <c r="CD685" s="2">
        <f>ROUND(SUMIF(AA650:AA683,"=1471718271",GP650:GP683),2)</f>
        <v>661064.31999999995</v>
      </c>
      <c r="CE685" s="2">
        <f>AC685-BX685</f>
        <v>3274.93</v>
      </c>
      <c r="CF685" s="2">
        <f>AC685-BY685</f>
        <v>3274.93</v>
      </c>
      <c r="CG685" s="2">
        <f>BX685-BZ685</f>
        <v>0</v>
      </c>
      <c r="CH685" s="2">
        <f>AC685-BX685-BY685+BZ685</f>
        <v>3274.93</v>
      </c>
      <c r="CI685" s="2">
        <f>BY685-BZ685</f>
        <v>0</v>
      </c>
      <c r="CJ685" s="2">
        <f>ROUND(SUMIF(AA650:AA683,"=1471718271",GX650:GX683),2)</f>
        <v>0</v>
      </c>
      <c r="CK685" s="2">
        <f>ROUND(SUMIF(AA650:AA683,"=1471718271",GY650:GY683),2)</f>
        <v>0</v>
      </c>
      <c r="CL685" s="2">
        <f>ROUND(SUMIF(AA650:AA683,"=1471718271",GZ650:GZ683),2)</f>
        <v>0</v>
      </c>
      <c r="CM685" s="2">
        <f>ROUND(SUMIF(AA650:AA683,"=1471718271",HD650:HD683),2)</f>
        <v>0</v>
      </c>
      <c r="CN685" s="2"/>
      <c r="CO685" s="2"/>
      <c r="CP685" s="2"/>
      <c r="CQ685" s="2"/>
      <c r="CR685" s="2"/>
      <c r="CS685" s="2"/>
      <c r="CT685" s="2"/>
      <c r="CU685" s="2"/>
      <c r="CV685" s="2"/>
      <c r="CW685" s="2"/>
      <c r="CX685" s="2"/>
      <c r="CY685" s="2"/>
      <c r="CZ685" s="2"/>
      <c r="DA685" s="2"/>
      <c r="DB685" s="2"/>
      <c r="DC685" s="2"/>
      <c r="DD685" s="2"/>
      <c r="DE685" s="2"/>
      <c r="DF685" s="2"/>
      <c r="DG685" s="3"/>
      <c r="DH685" s="3"/>
      <c r="DI685" s="3"/>
      <c r="DJ685" s="3"/>
      <c r="DK685" s="3"/>
      <c r="DL685" s="3"/>
      <c r="DM685" s="3"/>
      <c r="DN685" s="3"/>
      <c r="DO685" s="3"/>
      <c r="DP685" s="3"/>
      <c r="DQ685" s="3"/>
      <c r="DR685" s="3"/>
      <c r="DS685" s="3"/>
      <c r="DT685" s="3"/>
      <c r="DU685" s="3"/>
      <c r="DV685" s="3"/>
      <c r="DW685" s="3"/>
      <c r="DX685" s="3"/>
      <c r="DY685" s="3"/>
      <c r="DZ685" s="3"/>
      <c r="EA685" s="3"/>
      <c r="EB685" s="3"/>
      <c r="EC685" s="3"/>
      <c r="ED685" s="3"/>
      <c r="EE685" s="3"/>
      <c r="EF685" s="3"/>
      <c r="EG685" s="3"/>
      <c r="EH685" s="3"/>
      <c r="EI685" s="3"/>
      <c r="EJ685" s="3"/>
      <c r="EK685" s="3"/>
      <c r="EL685" s="3"/>
      <c r="EM685" s="3"/>
      <c r="EN685" s="3"/>
      <c r="EO685" s="3"/>
      <c r="EP685" s="3"/>
      <c r="EQ685" s="3"/>
      <c r="ER685" s="3"/>
      <c r="ES685" s="3"/>
      <c r="ET685" s="3"/>
      <c r="EU685" s="3"/>
      <c r="EV685" s="3"/>
      <c r="EW685" s="3"/>
      <c r="EX685" s="3"/>
      <c r="EY685" s="3"/>
      <c r="EZ685" s="3"/>
      <c r="FA685" s="3"/>
      <c r="FB685" s="3"/>
      <c r="FC685" s="3"/>
      <c r="FD685" s="3"/>
      <c r="FE685" s="3"/>
      <c r="FF685" s="3"/>
      <c r="FG685" s="3"/>
      <c r="FH685" s="3"/>
      <c r="FI685" s="3"/>
      <c r="FJ685" s="3"/>
      <c r="FK685" s="3"/>
      <c r="FL685" s="3"/>
      <c r="FM685" s="3"/>
      <c r="FN685" s="3"/>
      <c r="FO685" s="3"/>
      <c r="FP685" s="3"/>
      <c r="FQ685" s="3"/>
      <c r="FR685" s="3"/>
      <c r="FS685" s="3"/>
      <c r="FT685" s="3"/>
      <c r="FU685" s="3"/>
      <c r="FV685" s="3"/>
      <c r="FW685" s="3"/>
      <c r="FX685" s="3"/>
      <c r="FY685" s="3"/>
      <c r="FZ685" s="3"/>
      <c r="GA685" s="3"/>
      <c r="GB685" s="3"/>
      <c r="GC685" s="3"/>
      <c r="GD685" s="3"/>
      <c r="GE685" s="3"/>
      <c r="GF685" s="3"/>
      <c r="GG685" s="3"/>
      <c r="GH685" s="3"/>
      <c r="GI685" s="3"/>
      <c r="GJ685" s="3"/>
      <c r="GK685" s="3"/>
      <c r="GL685" s="3"/>
      <c r="GM685" s="3"/>
      <c r="GN685" s="3"/>
      <c r="GO685" s="3"/>
      <c r="GP685" s="3"/>
      <c r="GQ685" s="3"/>
      <c r="GR685" s="3"/>
      <c r="GS685" s="3"/>
      <c r="GT685" s="3"/>
      <c r="GU685" s="3"/>
      <c r="GV685" s="3"/>
      <c r="GW685" s="3"/>
      <c r="GX685" s="3">
        <v>0</v>
      </c>
    </row>
    <row r="687" spans="1:245" x14ac:dyDescent="0.2">
      <c r="A687" s="4">
        <v>50</v>
      </c>
      <c r="B687" s="4">
        <v>0</v>
      </c>
      <c r="C687" s="4">
        <v>0</v>
      </c>
      <c r="D687" s="4">
        <v>1</v>
      </c>
      <c r="E687" s="4">
        <v>201</v>
      </c>
      <c r="F687" s="4">
        <f>ROUND(Source!O685,O687)</f>
        <v>369087.09</v>
      </c>
      <c r="G687" s="4" t="s">
        <v>98</v>
      </c>
      <c r="H687" s="4" t="s">
        <v>99</v>
      </c>
      <c r="I687" s="4"/>
      <c r="J687" s="4"/>
      <c r="K687" s="4">
        <v>201</v>
      </c>
      <c r="L687" s="4">
        <v>1</v>
      </c>
      <c r="M687" s="4">
        <v>3</v>
      </c>
      <c r="N687" s="4" t="s">
        <v>3</v>
      </c>
      <c r="O687" s="4">
        <v>2</v>
      </c>
      <c r="P687" s="4"/>
      <c r="Q687" s="4"/>
      <c r="R687" s="4"/>
      <c r="S687" s="4"/>
      <c r="T687" s="4"/>
      <c r="U687" s="4"/>
      <c r="V687" s="4"/>
      <c r="W687" s="4">
        <v>0</v>
      </c>
      <c r="X687" s="4">
        <v>1</v>
      </c>
      <c r="Y687" s="4">
        <v>0</v>
      </c>
      <c r="Z687" s="4"/>
      <c r="AA687" s="4"/>
      <c r="AB687" s="4"/>
    </row>
    <row r="688" spans="1:245" x14ac:dyDescent="0.2">
      <c r="A688" s="4">
        <v>50</v>
      </c>
      <c r="B688" s="4">
        <v>0</v>
      </c>
      <c r="C688" s="4">
        <v>0</v>
      </c>
      <c r="D688" s="4">
        <v>1</v>
      </c>
      <c r="E688" s="4">
        <v>202</v>
      </c>
      <c r="F688" s="4">
        <f>ROUND(Source!P685,O688)</f>
        <v>3274.93</v>
      </c>
      <c r="G688" s="4" t="s">
        <v>100</v>
      </c>
      <c r="H688" s="4" t="s">
        <v>101</v>
      </c>
      <c r="I688" s="4"/>
      <c r="J688" s="4"/>
      <c r="K688" s="4">
        <v>202</v>
      </c>
      <c r="L688" s="4">
        <v>2</v>
      </c>
      <c r="M688" s="4">
        <v>3</v>
      </c>
      <c r="N688" s="4" t="s">
        <v>3</v>
      </c>
      <c r="O688" s="4">
        <v>2</v>
      </c>
      <c r="P688" s="4"/>
      <c r="Q688" s="4"/>
      <c r="R688" s="4"/>
      <c r="S688" s="4"/>
      <c r="T688" s="4"/>
      <c r="U688" s="4"/>
      <c r="V688" s="4"/>
      <c r="W688" s="4">
        <v>0</v>
      </c>
      <c r="X688" s="4">
        <v>1</v>
      </c>
      <c r="Y688" s="4">
        <v>0</v>
      </c>
      <c r="Z688" s="4"/>
      <c r="AA688" s="4"/>
      <c r="AB688" s="4"/>
    </row>
    <row r="689" spans="1:28" x14ac:dyDescent="0.2">
      <c r="A689" s="4">
        <v>50</v>
      </c>
      <c r="B689" s="4">
        <v>0</v>
      </c>
      <c r="C689" s="4">
        <v>0</v>
      </c>
      <c r="D689" s="4">
        <v>1</v>
      </c>
      <c r="E689" s="4">
        <v>222</v>
      </c>
      <c r="F689" s="4">
        <f>ROUND(Source!AO685,O689)</f>
        <v>0</v>
      </c>
      <c r="G689" s="4" t="s">
        <v>102</v>
      </c>
      <c r="H689" s="4" t="s">
        <v>103</v>
      </c>
      <c r="I689" s="4"/>
      <c r="J689" s="4"/>
      <c r="K689" s="4">
        <v>222</v>
      </c>
      <c r="L689" s="4">
        <v>3</v>
      </c>
      <c r="M689" s="4">
        <v>3</v>
      </c>
      <c r="N689" s="4" t="s">
        <v>3</v>
      </c>
      <c r="O689" s="4">
        <v>2</v>
      </c>
      <c r="P689" s="4"/>
      <c r="Q689" s="4"/>
      <c r="R689" s="4"/>
      <c r="S689" s="4"/>
      <c r="T689" s="4"/>
      <c r="U689" s="4"/>
      <c r="V689" s="4"/>
      <c r="W689" s="4">
        <v>0</v>
      </c>
      <c r="X689" s="4">
        <v>1</v>
      </c>
      <c r="Y689" s="4">
        <v>0</v>
      </c>
      <c r="Z689" s="4"/>
      <c r="AA689" s="4"/>
      <c r="AB689" s="4"/>
    </row>
    <row r="690" spans="1:28" x14ac:dyDescent="0.2">
      <c r="A690" s="4">
        <v>50</v>
      </c>
      <c r="B690" s="4">
        <v>0</v>
      </c>
      <c r="C690" s="4">
        <v>0</v>
      </c>
      <c r="D690" s="4">
        <v>1</v>
      </c>
      <c r="E690" s="4">
        <v>225</v>
      </c>
      <c r="F690" s="4">
        <f>ROUND(Source!AV685,O690)</f>
        <v>3274.93</v>
      </c>
      <c r="G690" s="4" t="s">
        <v>104</v>
      </c>
      <c r="H690" s="4" t="s">
        <v>105</v>
      </c>
      <c r="I690" s="4"/>
      <c r="J690" s="4"/>
      <c r="K690" s="4">
        <v>225</v>
      </c>
      <c r="L690" s="4">
        <v>4</v>
      </c>
      <c r="M690" s="4">
        <v>3</v>
      </c>
      <c r="N690" s="4" t="s">
        <v>3</v>
      </c>
      <c r="O690" s="4">
        <v>2</v>
      </c>
      <c r="P690" s="4"/>
      <c r="Q690" s="4"/>
      <c r="R690" s="4"/>
      <c r="S690" s="4"/>
      <c r="T690" s="4"/>
      <c r="U690" s="4"/>
      <c r="V690" s="4"/>
      <c r="W690" s="4">
        <v>0</v>
      </c>
      <c r="X690" s="4">
        <v>1</v>
      </c>
      <c r="Y690" s="4">
        <v>0</v>
      </c>
      <c r="Z690" s="4"/>
      <c r="AA690" s="4"/>
      <c r="AB690" s="4"/>
    </row>
    <row r="691" spans="1:28" x14ac:dyDescent="0.2">
      <c r="A691" s="4">
        <v>50</v>
      </c>
      <c r="B691" s="4">
        <v>0</v>
      </c>
      <c r="C691" s="4">
        <v>0</v>
      </c>
      <c r="D691" s="4">
        <v>1</v>
      </c>
      <c r="E691" s="4">
        <v>226</v>
      </c>
      <c r="F691" s="4">
        <f>ROUND(Source!AW685,O691)</f>
        <v>3274.93</v>
      </c>
      <c r="G691" s="4" t="s">
        <v>106</v>
      </c>
      <c r="H691" s="4" t="s">
        <v>107</v>
      </c>
      <c r="I691" s="4"/>
      <c r="J691" s="4"/>
      <c r="K691" s="4">
        <v>226</v>
      </c>
      <c r="L691" s="4">
        <v>5</v>
      </c>
      <c r="M691" s="4">
        <v>3</v>
      </c>
      <c r="N691" s="4" t="s">
        <v>3</v>
      </c>
      <c r="O691" s="4">
        <v>2</v>
      </c>
      <c r="P691" s="4"/>
      <c r="Q691" s="4"/>
      <c r="R691" s="4"/>
      <c r="S691" s="4"/>
      <c r="T691" s="4"/>
      <c r="U691" s="4"/>
      <c r="V691" s="4"/>
      <c r="W691" s="4">
        <v>0</v>
      </c>
      <c r="X691" s="4">
        <v>1</v>
      </c>
      <c r="Y691" s="4">
        <v>0</v>
      </c>
      <c r="Z691" s="4"/>
      <c r="AA691" s="4"/>
      <c r="AB691" s="4"/>
    </row>
    <row r="692" spans="1:28" x14ac:dyDescent="0.2">
      <c r="A692" s="4">
        <v>50</v>
      </c>
      <c r="B692" s="4">
        <v>0</v>
      </c>
      <c r="C692" s="4">
        <v>0</v>
      </c>
      <c r="D692" s="4">
        <v>1</v>
      </c>
      <c r="E692" s="4">
        <v>227</v>
      </c>
      <c r="F692" s="4">
        <f>ROUND(Source!AX685,O692)</f>
        <v>0</v>
      </c>
      <c r="G692" s="4" t="s">
        <v>108</v>
      </c>
      <c r="H692" s="4" t="s">
        <v>109</v>
      </c>
      <c r="I692" s="4"/>
      <c r="J692" s="4"/>
      <c r="K692" s="4">
        <v>227</v>
      </c>
      <c r="L692" s="4">
        <v>6</v>
      </c>
      <c r="M692" s="4">
        <v>3</v>
      </c>
      <c r="N692" s="4" t="s">
        <v>3</v>
      </c>
      <c r="O692" s="4">
        <v>2</v>
      </c>
      <c r="P692" s="4"/>
      <c r="Q692" s="4"/>
      <c r="R692" s="4"/>
      <c r="S692" s="4"/>
      <c r="T692" s="4"/>
      <c r="U692" s="4"/>
      <c r="V692" s="4"/>
      <c r="W692" s="4">
        <v>0</v>
      </c>
      <c r="X692" s="4">
        <v>1</v>
      </c>
      <c r="Y692" s="4">
        <v>0</v>
      </c>
      <c r="Z692" s="4"/>
      <c r="AA692" s="4"/>
      <c r="AB692" s="4"/>
    </row>
    <row r="693" spans="1:28" x14ac:dyDescent="0.2">
      <c r="A693" s="4">
        <v>50</v>
      </c>
      <c r="B693" s="4">
        <v>0</v>
      </c>
      <c r="C693" s="4">
        <v>0</v>
      </c>
      <c r="D693" s="4">
        <v>1</v>
      </c>
      <c r="E693" s="4">
        <v>228</v>
      </c>
      <c r="F693" s="4">
        <f>ROUND(Source!AY685,O693)</f>
        <v>3274.93</v>
      </c>
      <c r="G693" s="4" t="s">
        <v>110</v>
      </c>
      <c r="H693" s="4" t="s">
        <v>111</v>
      </c>
      <c r="I693" s="4"/>
      <c r="J693" s="4"/>
      <c r="K693" s="4">
        <v>228</v>
      </c>
      <c r="L693" s="4">
        <v>7</v>
      </c>
      <c r="M693" s="4">
        <v>3</v>
      </c>
      <c r="N693" s="4" t="s">
        <v>3</v>
      </c>
      <c r="O693" s="4">
        <v>2</v>
      </c>
      <c r="P693" s="4"/>
      <c r="Q693" s="4"/>
      <c r="R693" s="4"/>
      <c r="S693" s="4"/>
      <c r="T693" s="4"/>
      <c r="U693" s="4"/>
      <c r="V693" s="4"/>
      <c r="W693" s="4">
        <v>0</v>
      </c>
      <c r="X693" s="4">
        <v>1</v>
      </c>
      <c r="Y693" s="4">
        <v>0</v>
      </c>
      <c r="Z693" s="4"/>
      <c r="AA693" s="4"/>
      <c r="AB693" s="4"/>
    </row>
    <row r="694" spans="1:28" x14ac:dyDescent="0.2">
      <c r="A694" s="4">
        <v>50</v>
      </c>
      <c r="B694" s="4">
        <v>0</v>
      </c>
      <c r="C694" s="4">
        <v>0</v>
      </c>
      <c r="D694" s="4">
        <v>1</v>
      </c>
      <c r="E694" s="4">
        <v>216</v>
      </c>
      <c r="F694" s="4">
        <f>ROUND(Source!AP685,O694)</f>
        <v>0</v>
      </c>
      <c r="G694" s="4" t="s">
        <v>112</v>
      </c>
      <c r="H694" s="4" t="s">
        <v>113</v>
      </c>
      <c r="I694" s="4"/>
      <c r="J694" s="4"/>
      <c r="K694" s="4">
        <v>216</v>
      </c>
      <c r="L694" s="4">
        <v>8</v>
      </c>
      <c r="M694" s="4">
        <v>3</v>
      </c>
      <c r="N694" s="4" t="s">
        <v>3</v>
      </c>
      <c r="O694" s="4">
        <v>2</v>
      </c>
      <c r="P694" s="4"/>
      <c r="Q694" s="4"/>
      <c r="R694" s="4"/>
      <c r="S694" s="4"/>
      <c r="T694" s="4"/>
      <c r="U694" s="4"/>
      <c r="V694" s="4"/>
      <c r="W694" s="4">
        <v>0</v>
      </c>
      <c r="X694" s="4">
        <v>1</v>
      </c>
      <c r="Y694" s="4">
        <v>0</v>
      </c>
      <c r="Z694" s="4"/>
      <c r="AA694" s="4"/>
      <c r="AB694" s="4"/>
    </row>
    <row r="695" spans="1:28" x14ac:dyDescent="0.2">
      <c r="A695" s="4">
        <v>50</v>
      </c>
      <c r="B695" s="4">
        <v>0</v>
      </c>
      <c r="C695" s="4">
        <v>0</v>
      </c>
      <c r="D695" s="4">
        <v>1</v>
      </c>
      <c r="E695" s="4">
        <v>223</v>
      </c>
      <c r="F695" s="4">
        <f>ROUND(Source!AQ685,O695)</f>
        <v>0</v>
      </c>
      <c r="G695" s="4" t="s">
        <v>114</v>
      </c>
      <c r="H695" s="4" t="s">
        <v>115</v>
      </c>
      <c r="I695" s="4"/>
      <c r="J695" s="4"/>
      <c r="K695" s="4">
        <v>223</v>
      </c>
      <c r="L695" s="4">
        <v>9</v>
      </c>
      <c r="M695" s="4">
        <v>3</v>
      </c>
      <c r="N695" s="4" t="s">
        <v>3</v>
      </c>
      <c r="O695" s="4">
        <v>2</v>
      </c>
      <c r="P695" s="4"/>
      <c r="Q695" s="4"/>
      <c r="R695" s="4"/>
      <c r="S695" s="4"/>
      <c r="T695" s="4"/>
      <c r="U695" s="4"/>
      <c r="V695" s="4"/>
      <c r="W695" s="4">
        <v>0</v>
      </c>
      <c r="X695" s="4">
        <v>1</v>
      </c>
      <c r="Y695" s="4">
        <v>0</v>
      </c>
      <c r="Z695" s="4"/>
      <c r="AA695" s="4"/>
      <c r="AB695" s="4"/>
    </row>
    <row r="696" spans="1:28" x14ac:dyDescent="0.2">
      <c r="A696" s="4">
        <v>50</v>
      </c>
      <c r="B696" s="4">
        <v>0</v>
      </c>
      <c r="C696" s="4">
        <v>0</v>
      </c>
      <c r="D696" s="4">
        <v>1</v>
      </c>
      <c r="E696" s="4">
        <v>229</v>
      </c>
      <c r="F696" s="4">
        <f>ROUND(Source!AZ685,O696)</f>
        <v>0</v>
      </c>
      <c r="G696" s="4" t="s">
        <v>116</v>
      </c>
      <c r="H696" s="4" t="s">
        <v>117</v>
      </c>
      <c r="I696" s="4"/>
      <c r="J696" s="4"/>
      <c r="K696" s="4">
        <v>229</v>
      </c>
      <c r="L696" s="4">
        <v>10</v>
      </c>
      <c r="M696" s="4">
        <v>3</v>
      </c>
      <c r="N696" s="4" t="s">
        <v>3</v>
      </c>
      <c r="O696" s="4">
        <v>2</v>
      </c>
      <c r="P696" s="4"/>
      <c r="Q696" s="4"/>
      <c r="R696" s="4"/>
      <c r="S696" s="4"/>
      <c r="T696" s="4"/>
      <c r="U696" s="4"/>
      <c r="V696" s="4"/>
      <c r="W696" s="4">
        <v>0</v>
      </c>
      <c r="X696" s="4">
        <v>1</v>
      </c>
      <c r="Y696" s="4">
        <v>0</v>
      </c>
      <c r="Z696" s="4"/>
      <c r="AA696" s="4"/>
      <c r="AB696" s="4"/>
    </row>
    <row r="697" spans="1:28" x14ac:dyDescent="0.2">
      <c r="A697" s="4">
        <v>50</v>
      </c>
      <c r="B697" s="4">
        <v>0</v>
      </c>
      <c r="C697" s="4">
        <v>0</v>
      </c>
      <c r="D697" s="4">
        <v>1</v>
      </c>
      <c r="E697" s="4">
        <v>203</v>
      </c>
      <c r="F697" s="4">
        <f>ROUND(Source!Q685,O697)</f>
        <v>5837.5</v>
      </c>
      <c r="G697" s="4" t="s">
        <v>118</v>
      </c>
      <c r="H697" s="4" t="s">
        <v>119</v>
      </c>
      <c r="I697" s="4"/>
      <c r="J697" s="4"/>
      <c r="K697" s="4">
        <v>203</v>
      </c>
      <c r="L697" s="4">
        <v>11</v>
      </c>
      <c r="M697" s="4">
        <v>3</v>
      </c>
      <c r="N697" s="4" t="s">
        <v>3</v>
      </c>
      <c r="O697" s="4">
        <v>2</v>
      </c>
      <c r="P697" s="4"/>
      <c r="Q697" s="4"/>
      <c r="R697" s="4"/>
      <c r="S697" s="4"/>
      <c r="T697" s="4"/>
      <c r="U697" s="4"/>
      <c r="V697" s="4"/>
      <c r="W697" s="4">
        <v>0</v>
      </c>
      <c r="X697" s="4">
        <v>1</v>
      </c>
      <c r="Y697" s="4">
        <v>0</v>
      </c>
      <c r="Z697" s="4"/>
      <c r="AA697" s="4"/>
      <c r="AB697" s="4"/>
    </row>
    <row r="698" spans="1:28" x14ac:dyDescent="0.2">
      <c r="A698" s="4">
        <v>50</v>
      </c>
      <c r="B698" s="4">
        <v>0</v>
      </c>
      <c r="C698" s="4">
        <v>0</v>
      </c>
      <c r="D698" s="4">
        <v>1</v>
      </c>
      <c r="E698" s="4">
        <v>231</v>
      </c>
      <c r="F698" s="4">
        <f>ROUND(Source!BB685,O698)</f>
        <v>0</v>
      </c>
      <c r="G698" s="4" t="s">
        <v>120</v>
      </c>
      <c r="H698" s="4" t="s">
        <v>121</v>
      </c>
      <c r="I698" s="4"/>
      <c r="J698" s="4"/>
      <c r="K698" s="4">
        <v>231</v>
      </c>
      <c r="L698" s="4">
        <v>12</v>
      </c>
      <c r="M698" s="4">
        <v>3</v>
      </c>
      <c r="N698" s="4" t="s">
        <v>3</v>
      </c>
      <c r="O698" s="4">
        <v>2</v>
      </c>
      <c r="P698" s="4"/>
      <c r="Q698" s="4"/>
      <c r="R698" s="4"/>
      <c r="S698" s="4"/>
      <c r="T698" s="4"/>
      <c r="U698" s="4"/>
      <c r="V698" s="4"/>
      <c r="W698" s="4">
        <v>0</v>
      </c>
      <c r="X698" s="4">
        <v>1</v>
      </c>
      <c r="Y698" s="4">
        <v>0</v>
      </c>
      <c r="Z698" s="4"/>
      <c r="AA698" s="4"/>
      <c r="AB698" s="4"/>
    </row>
    <row r="699" spans="1:28" x14ac:dyDescent="0.2">
      <c r="A699" s="4">
        <v>50</v>
      </c>
      <c r="B699" s="4">
        <v>0</v>
      </c>
      <c r="C699" s="4">
        <v>0</v>
      </c>
      <c r="D699" s="4">
        <v>1</v>
      </c>
      <c r="E699" s="4">
        <v>204</v>
      </c>
      <c r="F699" s="4">
        <f>ROUND(Source!R685,O699)</f>
        <v>3701.38</v>
      </c>
      <c r="G699" s="4" t="s">
        <v>122</v>
      </c>
      <c r="H699" s="4" t="s">
        <v>123</v>
      </c>
      <c r="I699" s="4"/>
      <c r="J699" s="4"/>
      <c r="K699" s="4">
        <v>204</v>
      </c>
      <c r="L699" s="4">
        <v>13</v>
      </c>
      <c r="M699" s="4">
        <v>3</v>
      </c>
      <c r="N699" s="4" t="s">
        <v>3</v>
      </c>
      <c r="O699" s="4">
        <v>2</v>
      </c>
      <c r="P699" s="4"/>
      <c r="Q699" s="4"/>
      <c r="R699" s="4"/>
      <c r="S699" s="4"/>
      <c r="T699" s="4"/>
      <c r="U699" s="4"/>
      <c r="V699" s="4"/>
      <c r="W699" s="4">
        <v>0</v>
      </c>
      <c r="X699" s="4">
        <v>1</v>
      </c>
      <c r="Y699" s="4">
        <v>0</v>
      </c>
      <c r="Z699" s="4"/>
      <c r="AA699" s="4"/>
      <c r="AB699" s="4"/>
    </row>
    <row r="700" spans="1:28" x14ac:dyDescent="0.2">
      <c r="A700" s="4">
        <v>50</v>
      </c>
      <c r="B700" s="4">
        <v>0</v>
      </c>
      <c r="C700" s="4">
        <v>0</v>
      </c>
      <c r="D700" s="4">
        <v>1</v>
      </c>
      <c r="E700" s="4">
        <v>205</v>
      </c>
      <c r="F700" s="4">
        <f>ROUND(Source!S685,O700)</f>
        <v>359974.66</v>
      </c>
      <c r="G700" s="4" t="s">
        <v>124</v>
      </c>
      <c r="H700" s="4" t="s">
        <v>125</v>
      </c>
      <c r="I700" s="4"/>
      <c r="J700" s="4"/>
      <c r="K700" s="4">
        <v>205</v>
      </c>
      <c r="L700" s="4">
        <v>14</v>
      </c>
      <c r="M700" s="4">
        <v>3</v>
      </c>
      <c r="N700" s="4" t="s">
        <v>3</v>
      </c>
      <c r="O700" s="4">
        <v>2</v>
      </c>
      <c r="P700" s="4"/>
      <c r="Q700" s="4"/>
      <c r="R700" s="4"/>
      <c r="S700" s="4"/>
      <c r="T700" s="4"/>
      <c r="U700" s="4"/>
      <c r="V700" s="4"/>
      <c r="W700" s="4">
        <v>0</v>
      </c>
      <c r="X700" s="4">
        <v>1</v>
      </c>
      <c r="Y700" s="4">
        <v>0</v>
      </c>
      <c r="Z700" s="4"/>
      <c r="AA700" s="4"/>
      <c r="AB700" s="4"/>
    </row>
    <row r="701" spans="1:28" x14ac:dyDescent="0.2">
      <c r="A701" s="4">
        <v>50</v>
      </c>
      <c r="B701" s="4">
        <v>0</v>
      </c>
      <c r="C701" s="4">
        <v>0</v>
      </c>
      <c r="D701" s="4">
        <v>1</v>
      </c>
      <c r="E701" s="4">
        <v>232</v>
      </c>
      <c r="F701" s="4">
        <f>ROUND(Source!BC685,O701)</f>
        <v>0</v>
      </c>
      <c r="G701" s="4" t="s">
        <v>126</v>
      </c>
      <c r="H701" s="4" t="s">
        <v>127</v>
      </c>
      <c r="I701" s="4"/>
      <c r="J701" s="4"/>
      <c r="K701" s="4">
        <v>232</v>
      </c>
      <c r="L701" s="4">
        <v>15</v>
      </c>
      <c r="M701" s="4">
        <v>3</v>
      </c>
      <c r="N701" s="4" t="s">
        <v>3</v>
      </c>
      <c r="O701" s="4">
        <v>2</v>
      </c>
      <c r="P701" s="4"/>
      <c r="Q701" s="4"/>
      <c r="R701" s="4"/>
      <c r="S701" s="4"/>
      <c r="T701" s="4"/>
      <c r="U701" s="4"/>
      <c r="V701" s="4"/>
      <c r="W701" s="4">
        <v>0</v>
      </c>
      <c r="X701" s="4">
        <v>1</v>
      </c>
      <c r="Y701" s="4">
        <v>0</v>
      </c>
      <c r="Z701" s="4"/>
      <c r="AA701" s="4"/>
      <c r="AB701" s="4"/>
    </row>
    <row r="702" spans="1:28" x14ac:dyDescent="0.2">
      <c r="A702" s="4">
        <v>50</v>
      </c>
      <c r="B702" s="4">
        <v>0</v>
      </c>
      <c r="C702" s="4">
        <v>0</v>
      </c>
      <c r="D702" s="4">
        <v>1</v>
      </c>
      <c r="E702" s="4">
        <v>214</v>
      </c>
      <c r="F702" s="4">
        <f>ROUND(Source!AS685,O702)</f>
        <v>0</v>
      </c>
      <c r="G702" s="4" t="s">
        <v>128</v>
      </c>
      <c r="H702" s="4" t="s">
        <v>129</v>
      </c>
      <c r="I702" s="4"/>
      <c r="J702" s="4"/>
      <c r="K702" s="4">
        <v>214</v>
      </c>
      <c r="L702" s="4">
        <v>16</v>
      </c>
      <c r="M702" s="4">
        <v>3</v>
      </c>
      <c r="N702" s="4" t="s">
        <v>3</v>
      </c>
      <c r="O702" s="4">
        <v>2</v>
      </c>
      <c r="P702" s="4"/>
      <c r="Q702" s="4"/>
      <c r="R702" s="4"/>
      <c r="S702" s="4"/>
      <c r="T702" s="4"/>
      <c r="U702" s="4"/>
      <c r="V702" s="4"/>
      <c r="W702" s="4">
        <v>0</v>
      </c>
      <c r="X702" s="4">
        <v>1</v>
      </c>
      <c r="Y702" s="4">
        <v>0</v>
      </c>
      <c r="Z702" s="4"/>
      <c r="AA702" s="4"/>
      <c r="AB702" s="4"/>
    </row>
    <row r="703" spans="1:28" x14ac:dyDescent="0.2">
      <c r="A703" s="4">
        <v>50</v>
      </c>
      <c r="B703" s="4">
        <v>0</v>
      </c>
      <c r="C703" s="4">
        <v>0</v>
      </c>
      <c r="D703" s="4">
        <v>1</v>
      </c>
      <c r="E703" s="4">
        <v>215</v>
      </c>
      <c r="F703" s="4">
        <f>ROUND(Source!AT685,O703)</f>
        <v>0</v>
      </c>
      <c r="G703" s="4" t="s">
        <v>130</v>
      </c>
      <c r="H703" s="4" t="s">
        <v>131</v>
      </c>
      <c r="I703" s="4"/>
      <c r="J703" s="4"/>
      <c r="K703" s="4">
        <v>215</v>
      </c>
      <c r="L703" s="4">
        <v>17</v>
      </c>
      <c r="M703" s="4">
        <v>3</v>
      </c>
      <c r="N703" s="4" t="s">
        <v>3</v>
      </c>
      <c r="O703" s="4">
        <v>2</v>
      </c>
      <c r="P703" s="4"/>
      <c r="Q703" s="4"/>
      <c r="R703" s="4"/>
      <c r="S703" s="4"/>
      <c r="T703" s="4"/>
      <c r="U703" s="4"/>
      <c r="V703" s="4"/>
      <c r="W703" s="4">
        <v>0</v>
      </c>
      <c r="X703" s="4">
        <v>1</v>
      </c>
      <c r="Y703" s="4">
        <v>0</v>
      </c>
      <c r="Z703" s="4"/>
      <c r="AA703" s="4"/>
      <c r="AB703" s="4"/>
    </row>
    <row r="704" spans="1:28" x14ac:dyDescent="0.2">
      <c r="A704" s="4">
        <v>50</v>
      </c>
      <c r="B704" s="4">
        <v>0</v>
      </c>
      <c r="C704" s="4">
        <v>0</v>
      </c>
      <c r="D704" s="4">
        <v>1</v>
      </c>
      <c r="E704" s="4">
        <v>217</v>
      </c>
      <c r="F704" s="4">
        <f>ROUND(Source!AU685,O704)</f>
        <v>661064.31999999995</v>
      </c>
      <c r="G704" s="4" t="s">
        <v>132</v>
      </c>
      <c r="H704" s="4" t="s">
        <v>133</v>
      </c>
      <c r="I704" s="4"/>
      <c r="J704" s="4"/>
      <c r="K704" s="4">
        <v>217</v>
      </c>
      <c r="L704" s="4">
        <v>18</v>
      </c>
      <c r="M704" s="4">
        <v>3</v>
      </c>
      <c r="N704" s="4" t="s">
        <v>3</v>
      </c>
      <c r="O704" s="4">
        <v>2</v>
      </c>
      <c r="P704" s="4"/>
      <c r="Q704" s="4"/>
      <c r="R704" s="4"/>
      <c r="S704" s="4"/>
      <c r="T704" s="4"/>
      <c r="U704" s="4"/>
      <c r="V704" s="4"/>
      <c r="W704" s="4">
        <v>0</v>
      </c>
      <c r="X704" s="4">
        <v>1</v>
      </c>
      <c r="Y704" s="4">
        <v>0</v>
      </c>
      <c r="Z704" s="4"/>
      <c r="AA704" s="4"/>
      <c r="AB704" s="4"/>
    </row>
    <row r="705" spans="1:206" x14ac:dyDescent="0.2">
      <c r="A705" s="4">
        <v>50</v>
      </c>
      <c r="B705" s="4">
        <v>0</v>
      </c>
      <c r="C705" s="4">
        <v>0</v>
      </c>
      <c r="D705" s="4">
        <v>1</v>
      </c>
      <c r="E705" s="4">
        <v>230</v>
      </c>
      <c r="F705" s="4">
        <f>ROUND(Source!BA685,O705)</f>
        <v>0</v>
      </c>
      <c r="G705" s="4" t="s">
        <v>134</v>
      </c>
      <c r="H705" s="4" t="s">
        <v>135</v>
      </c>
      <c r="I705" s="4"/>
      <c r="J705" s="4"/>
      <c r="K705" s="4">
        <v>230</v>
      </c>
      <c r="L705" s="4">
        <v>19</v>
      </c>
      <c r="M705" s="4">
        <v>3</v>
      </c>
      <c r="N705" s="4" t="s">
        <v>3</v>
      </c>
      <c r="O705" s="4">
        <v>2</v>
      </c>
      <c r="P705" s="4"/>
      <c r="Q705" s="4"/>
      <c r="R705" s="4"/>
      <c r="S705" s="4"/>
      <c r="T705" s="4"/>
      <c r="U705" s="4"/>
      <c r="V705" s="4"/>
      <c r="W705" s="4">
        <v>0</v>
      </c>
      <c r="X705" s="4">
        <v>1</v>
      </c>
      <c r="Y705" s="4">
        <v>0</v>
      </c>
      <c r="Z705" s="4"/>
      <c r="AA705" s="4"/>
      <c r="AB705" s="4"/>
    </row>
    <row r="706" spans="1:206" x14ac:dyDescent="0.2">
      <c r="A706" s="4">
        <v>50</v>
      </c>
      <c r="B706" s="4">
        <v>0</v>
      </c>
      <c r="C706" s="4">
        <v>0</v>
      </c>
      <c r="D706" s="4">
        <v>1</v>
      </c>
      <c r="E706" s="4">
        <v>206</v>
      </c>
      <c r="F706" s="4">
        <f>ROUND(Source!T685,O706)</f>
        <v>0</v>
      </c>
      <c r="G706" s="4" t="s">
        <v>136</v>
      </c>
      <c r="H706" s="4" t="s">
        <v>137</v>
      </c>
      <c r="I706" s="4"/>
      <c r="J706" s="4"/>
      <c r="K706" s="4">
        <v>206</v>
      </c>
      <c r="L706" s="4">
        <v>20</v>
      </c>
      <c r="M706" s="4">
        <v>3</v>
      </c>
      <c r="N706" s="4" t="s">
        <v>3</v>
      </c>
      <c r="O706" s="4">
        <v>2</v>
      </c>
      <c r="P706" s="4"/>
      <c r="Q706" s="4"/>
      <c r="R706" s="4"/>
      <c r="S706" s="4"/>
      <c r="T706" s="4"/>
      <c r="U706" s="4"/>
      <c r="V706" s="4"/>
      <c r="W706" s="4">
        <v>0</v>
      </c>
      <c r="X706" s="4">
        <v>1</v>
      </c>
      <c r="Y706" s="4">
        <v>0</v>
      </c>
      <c r="Z706" s="4"/>
      <c r="AA706" s="4"/>
      <c r="AB706" s="4"/>
    </row>
    <row r="707" spans="1:206" x14ac:dyDescent="0.2">
      <c r="A707" s="4">
        <v>50</v>
      </c>
      <c r="B707" s="4">
        <v>0</v>
      </c>
      <c r="C707" s="4">
        <v>0</v>
      </c>
      <c r="D707" s="4">
        <v>1</v>
      </c>
      <c r="E707" s="4">
        <v>207</v>
      </c>
      <c r="F707" s="4">
        <f>Source!U685</f>
        <v>593.2879999999999</v>
      </c>
      <c r="G707" s="4" t="s">
        <v>138</v>
      </c>
      <c r="H707" s="4" t="s">
        <v>139</v>
      </c>
      <c r="I707" s="4"/>
      <c r="J707" s="4"/>
      <c r="K707" s="4">
        <v>207</v>
      </c>
      <c r="L707" s="4">
        <v>21</v>
      </c>
      <c r="M707" s="4">
        <v>3</v>
      </c>
      <c r="N707" s="4" t="s">
        <v>3</v>
      </c>
      <c r="O707" s="4">
        <v>-1</v>
      </c>
      <c r="P707" s="4"/>
      <c r="Q707" s="4"/>
      <c r="R707" s="4"/>
      <c r="S707" s="4"/>
      <c r="T707" s="4"/>
      <c r="U707" s="4"/>
      <c r="V707" s="4"/>
      <c r="W707" s="4">
        <v>0</v>
      </c>
      <c r="X707" s="4">
        <v>1</v>
      </c>
      <c r="Y707" s="4">
        <v>0</v>
      </c>
      <c r="Z707" s="4"/>
      <c r="AA707" s="4"/>
      <c r="AB707" s="4"/>
    </row>
    <row r="708" spans="1:206" x14ac:dyDescent="0.2">
      <c r="A708" s="4">
        <v>50</v>
      </c>
      <c r="B708" s="4">
        <v>0</v>
      </c>
      <c r="C708" s="4">
        <v>0</v>
      </c>
      <c r="D708" s="4">
        <v>1</v>
      </c>
      <c r="E708" s="4">
        <v>208</v>
      </c>
      <c r="F708" s="4">
        <f>Source!V685</f>
        <v>0</v>
      </c>
      <c r="G708" s="4" t="s">
        <v>140</v>
      </c>
      <c r="H708" s="4" t="s">
        <v>141</v>
      </c>
      <c r="I708" s="4"/>
      <c r="J708" s="4"/>
      <c r="K708" s="4">
        <v>208</v>
      </c>
      <c r="L708" s="4">
        <v>22</v>
      </c>
      <c r="M708" s="4">
        <v>3</v>
      </c>
      <c r="N708" s="4" t="s">
        <v>3</v>
      </c>
      <c r="O708" s="4">
        <v>-1</v>
      </c>
      <c r="P708" s="4"/>
      <c r="Q708" s="4"/>
      <c r="R708" s="4"/>
      <c r="S708" s="4"/>
      <c r="T708" s="4"/>
      <c r="U708" s="4"/>
      <c r="V708" s="4"/>
      <c r="W708" s="4">
        <v>0</v>
      </c>
      <c r="X708" s="4">
        <v>1</v>
      </c>
      <c r="Y708" s="4">
        <v>0</v>
      </c>
      <c r="Z708" s="4"/>
      <c r="AA708" s="4"/>
      <c r="AB708" s="4"/>
    </row>
    <row r="709" spans="1:206" x14ac:dyDescent="0.2">
      <c r="A709" s="4">
        <v>50</v>
      </c>
      <c r="B709" s="4">
        <v>0</v>
      </c>
      <c r="C709" s="4">
        <v>0</v>
      </c>
      <c r="D709" s="4">
        <v>1</v>
      </c>
      <c r="E709" s="4">
        <v>209</v>
      </c>
      <c r="F709" s="4">
        <f>ROUND(Source!W685,O709)</f>
        <v>0</v>
      </c>
      <c r="G709" s="4" t="s">
        <v>142</v>
      </c>
      <c r="H709" s="4" t="s">
        <v>143</v>
      </c>
      <c r="I709" s="4"/>
      <c r="J709" s="4"/>
      <c r="K709" s="4">
        <v>209</v>
      </c>
      <c r="L709" s="4">
        <v>23</v>
      </c>
      <c r="M709" s="4">
        <v>3</v>
      </c>
      <c r="N709" s="4" t="s">
        <v>3</v>
      </c>
      <c r="O709" s="4">
        <v>2</v>
      </c>
      <c r="P709" s="4"/>
      <c r="Q709" s="4"/>
      <c r="R709" s="4"/>
      <c r="S709" s="4"/>
      <c r="T709" s="4"/>
      <c r="U709" s="4"/>
      <c r="V709" s="4"/>
      <c r="W709" s="4">
        <v>0</v>
      </c>
      <c r="X709" s="4">
        <v>1</v>
      </c>
      <c r="Y709" s="4">
        <v>0</v>
      </c>
      <c r="Z709" s="4"/>
      <c r="AA709" s="4"/>
      <c r="AB709" s="4"/>
    </row>
    <row r="710" spans="1:206" x14ac:dyDescent="0.2">
      <c r="A710" s="4">
        <v>50</v>
      </c>
      <c r="B710" s="4">
        <v>0</v>
      </c>
      <c r="C710" s="4">
        <v>0</v>
      </c>
      <c r="D710" s="4">
        <v>1</v>
      </c>
      <c r="E710" s="4">
        <v>233</v>
      </c>
      <c r="F710" s="4">
        <f>ROUND(Source!BD685,O710)</f>
        <v>0</v>
      </c>
      <c r="G710" s="4" t="s">
        <v>144</v>
      </c>
      <c r="H710" s="4" t="s">
        <v>145</v>
      </c>
      <c r="I710" s="4"/>
      <c r="J710" s="4"/>
      <c r="K710" s="4">
        <v>233</v>
      </c>
      <c r="L710" s="4">
        <v>24</v>
      </c>
      <c r="M710" s="4">
        <v>3</v>
      </c>
      <c r="N710" s="4" t="s">
        <v>3</v>
      </c>
      <c r="O710" s="4">
        <v>2</v>
      </c>
      <c r="P710" s="4"/>
      <c r="Q710" s="4"/>
      <c r="R710" s="4"/>
      <c r="S710" s="4"/>
      <c r="T710" s="4"/>
      <c r="U710" s="4"/>
      <c r="V710" s="4"/>
      <c r="W710" s="4">
        <v>0</v>
      </c>
      <c r="X710" s="4">
        <v>1</v>
      </c>
      <c r="Y710" s="4">
        <v>0</v>
      </c>
      <c r="Z710" s="4"/>
      <c r="AA710" s="4"/>
      <c r="AB710" s="4"/>
    </row>
    <row r="711" spans="1:206" x14ac:dyDescent="0.2">
      <c r="A711" s="4">
        <v>50</v>
      </c>
      <c r="B711" s="4">
        <v>0</v>
      </c>
      <c r="C711" s="4">
        <v>0</v>
      </c>
      <c r="D711" s="4">
        <v>1</v>
      </c>
      <c r="E711" s="4">
        <v>210</v>
      </c>
      <c r="F711" s="4">
        <f>ROUND(Source!X685,O711)</f>
        <v>251982.28</v>
      </c>
      <c r="G711" s="4" t="s">
        <v>146</v>
      </c>
      <c r="H711" s="4" t="s">
        <v>147</v>
      </c>
      <c r="I711" s="4"/>
      <c r="J711" s="4"/>
      <c r="K711" s="4">
        <v>210</v>
      </c>
      <c r="L711" s="4">
        <v>25</v>
      </c>
      <c r="M711" s="4">
        <v>3</v>
      </c>
      <c r="N711" s="4" t="s">
        <v>3</v>
      </c>
      <c r="O711" s="4">
        <v>2</v>
      </c>
      <c r="P711" s="4"/>
      <c r="Q711" s="4"/>
      <c r="R711" s="4"/>
      <c r="S711" s="4"/>
      <c r="T711" s="4"/>
      <c r="U711" s="4"/>
      <c r="V711" s="4"/>
      <c r="W711" s="4">
        <v>0</v>
      </c>
      <c r="X711" s="4">
        <v>1</v>
      </c>
      <c r="Y711" s="4">
        <v>0</v>
      </c>
      <c r="Z711" s="4"/>
      <c r="AA711" s="4"/>
      <c r="AB711" s="4"/>
    </row>
    <row r="712" spans="1:206" x14ac:dyDescent="0.2">
      <c r="A712" s="4">
        <v>50</v>
      </c>
      <c r="B712" s="4">
        <v>0</v>
      </c>
      <c r="C712" s="4">
        <v>0</v>
      </c>
      <c r="D712" s="4">
        <v>1</v>
      </c>
      <c r="E712" s="4">
        <v>211</v>
      </c>
      <c r="F712" s="4">
        <f>ROUND(Source!Y685,O712)</f>
        <v>35997.46</v>
      </c>
      <c r="G712" s="4" t="s">
        <v>148</v>
      </c>
      <c r="H712" s="4" t="s">
        <v>149</v>
      </c>
      <c r="I712" s="4"/>
      <c r="J712" s="4"/>
      <c r="K712" s="4">
        <v>211</v>
      </c>
      <c r="L712" s="4">
        <v>26</v>
      </c>
      <c r="M712" s="4">
        <v>3</v>
      </c>
      <c r="N712" s="4" t="s">
        <v>3</v>
      </c>
      <c r="O712" s="4">
        <v>2</v>
      </c>
      <c r="P712" s="4"/>
      <c r="Q712" s="4"/>
      <c r="R712" s="4"/>
      <c r="S712" s="4"/>
      <c r="T712" s="4"/>
      <c r="U712" s="4"/>
      <c r="V712" s="4"/>
      <c r="W712" s="4">
        <v>0</v>
      </c>
      <c r="X712" s="4">
        <v>1</v>
      </c>
      <c r="Y712" s="4">
        <v>0</v>
      </c>
      <c r="Z712" s="4"/>
      <c r="AA712" s="4"/>
      <c r="AB712" s="4"/>
    </row>
    <row r="713" spans="1:206" x14ac:dyDescent="0.2">
      <c r="A713" s="4">
        <v>50</v>
      </c>
      <c r="B713" s="4">
        <v>0</v>
      </c>
      <c r="C713" s="4">
        <v>0</v>
      </c>
      <c r="D713" s="4">
        <v>1</v>
      </c>
      <c r="E713" s="4">
        <v>224</v>
      </c>
      <c r="F713" s="4">
        <f>ROUND(Source!AR685,O713)</f>
        <v>661064.31999999995</v>
      </c>
      <c r="G713" s="4" t="s">
        <v>150</v>
      </c>
      <c r="H713" s="4" t="s">
        <v>151</v>
      </c>
      <c r="I713" s="4"/>
      <c r="J713" s="4"/>
      <c r="K713" s="4">
        <v>224</v>
      </c>
      <c r="L713" s="4">
        <v>27</v>
      </c>
      <c r="M713" s="4">
        <v>3</v>
      </c>
      <c r="N713" s="4" t="s">
        <v>3</v>
      </c>
      <c r="O713" s="4">
        <v>2</v>
      </c>
      <c r="P713" s="4"/>
      <c r="Q713" s="4"/>
      <c r="R713" s="4"/>
      <c r="S713" s="4"/>
      <c r="T713" s="4"/>
      <c r="U713" s="4"/>
      <c r="V713" s="4"/>
      <c r="W713" s="4">
        <v>0</v>
      </c>
      <c r="X713" s="4">
        <v>1</v>
      </c>
      <c r="Y713" s="4">
        <v>0</v>
      </c>
      <c r="Z713" s="4"/>
      <c r="AA713" s="4"/>
      <c r="AB713" s="4"/>
    </row>
    <row r="715" spans="1:206" x14ac:dyDescent="0.2">
      <c r="A715" s="2">
        <v>51</v>
      </c>
      <c r="B715" s="2">
        <f>B503</f>
        <v>1</v>
      </c>
      <c r="C715" s="2">
        <f>A503</f>
        <v>4</v>
      </c>
      <c r="D715" s="2">
        <f>ROW(A503)</f>
        <v>503</v>
      </c>
      <c r="E715" s="2"/>
      <c r="F715" s="2" t="str">
        <f>IF(F503&lt;&gt;"",F503,"")</f>
        <v>Новый раздел</v>
      </c>
      <c r="G715" s="2" t="str">
        <f>IF(G503&lt;&gt;"",G503,"")</f>
        <v>Дом двухсекционный  (10 шт.) по адресу: г. Москва, городское поселение Краснопахорское, квартал 107</v>
      </c>
      <c r="H715" s="2">
        <v>0</v>
      </c>
      <c r="I715" s="2"/>
      <c r="J715" s="2"/>
      <c r="K715" s="2"/>
      <c r="L715" s="2"/>
      <c r="M715" s="2"/>
      <c r="N715" s="2"/>
      <c r="O715" s="2">
        <f t="shared" ref="O715:T715" si="676">ROUND(O534+O572+O616+O685+AB715,2)</f>
        <v>490752.66</v>
      </c>
      <c r="P715" s="2">
        <f t="shared" si="676"/>
        <v>3714.21</v>
      </c>
      <c r="Q715" s="2">
        <f t="shared" si="676"/>
        <v>23930.16</v>
      </c>
      <c r="R715" s="2">
        <f t="shared" si="676"/>
        <v>15128.42</v>
      </c>
      <c r="S715" s="2">
        <f t="shared" si="676"/>
        <v>463108.29</v>
      </c>
      <c r="T715" s="2">
        <f t="shared" si="676"/>
        <v>0</v>
      </c>
      <c r="U715" s="2">
        <f>U534+U572+U616+U685+AH715</f>
        <v>765.64099999999985</v>
      </c>
      <c r="V715" s="2">
        <f>V534+V572+V616+V685+AI715</f>
        <v>0</v>
      </c>
      <c r="W715" s="2">
        <f>ROUND(W534+W572+W616+W685+AJ715,2)</f>
        <v>0</v>
      </c>
      <c r="X715" s="2">
        <f>ROUND(X534+X572+X616+X685+AK715,2)</f>
        <v>324175.83</v>
      </c>
      <c r="Y715" s="2">
        <f>ROUND(Y534+Y572+Y616+Y685+AL715,2)</f>
        <v>46310.83</v>
      </c>
      <c r="Z715" s="2"/>
      <c r="AA715" s="2"/>
      <c r="AB715" s="2"/>
      <c r="AC715" s="2"/>
      <c r="AD715" s="2"/>
      <c r="AE715" s="2"/>
      <c r="AF715" s="2"/>
      <c r="AG715" s="2"/>
      <c r="AH715" s="2"/>
      <c r="AI715" s="2"/>
      <c r="AJ715" s="2"/>
      <c r="AK715" s="2"/>
      <c r="AL715" s="2"/>
      <c r="AM715" s="2"/>
      <c r="AN715" s="2"/>
      <c r="AO715" s="2">
        <f t="shared" ref="AO715:BD715" si="677">ROUND(AO534+AO572+AO616+AO685+BX715,2)</f>
        <v>0</v>
      </c>
      <c r="AP715" s="2">
        <f t="shared" si="677"/>
        <v>0</v>
      </c>
      <c r="AQ715" s="2">
        <f t="shared" si="677"/>
        <v>0</v>
      </c>
      <c r="AR715" s="2">
        <f t="shared" si="677"/>
        <v>877578.04</v>
      </c>
      <c r="AS715" s="2">
        <f t="shared" si="677"/>
        <v>0</v>
      </c>
      <c r="AT715" s="2">
        <f t="shared" si="677"/>
        <v>0</v>
      </c>
      <c r="AU715" s="2">
        <f t="shared" si="677"/>
        <v>877578.04</v>
      </c>
      <c r="AV715" s="2">
        <f t="shared" si="677"/>
        <v>3714.21</v>
      </c>
      <c r="AW715" s="2">
        <f t="shared" si="677"/>
        <v>3714.21</v>
      </c>
      <c r="AX715" s="2">
        <f t="shared" si="677"/>
        <v>0</v>
      </c>
      <c r="AY715" s="2">
        <f t="shared" si="677"/>
        <v>3714.21</v>
      </c>
      <c r="AZ715" s="2">
        <f t="shared" si="677"/>
        <v>0</v>
      </c>
      <c r="BA715" s="2">
        <f t="shared" si="677"/>
        <v>0</v>
      </c>
      <c r="BB715" s="2">
        <f t="shared" si="677"/>
        <v>0</v>
      </c>
      <c r="BC715" s="2">
        <f t="shared" si="677"/>
        <v>0</v>
      </c>
      <c r="BD715" s="2">
        <f t="shared" si="677"/>
        <v>0</v>
      </c>
      <c r="BE715" s="2"/>
      <c r="BF715" s="2"/>
      <c r="BG715" s="2"/>
      <c r="BH715" s="2"/>
      <c r="BI715" s="2"/>
      <c r="BJ715" s="2"/>
      <c r="BK715" s="2"/>
      <c r="BL715" s="2"/>
      <c r="BM715" s="2"/>
      <c r="BN715" s="2"/>
      <c r="BO715" s="2"/>
      <c r="BP715" s="2"/>
      <c r="BQ715" s="2"/>
      <c r="BR715" s="2"/>
      <c r="BS715" s="2"/>
      <c r="BT715" s="2"/>
      <c r="BU715" s="2"/>
      <c r="BV715" s="2"/>
      <c r="BW715" s="2"/>
      <c r="BX715" s="2"/>
      <c r="BY715" s="2"/>
      <c r="BZ715" s="2"/>
      <c r="CA715" s="2"/>
      <c r="CB715" s="2"/>
      <c r="CC715" s="2"/>
      <c r="CD715" s="2"/>
      <c r="CE715" s="2"/>
      <c r="CF715" s="2"/>
      <c r="CG715" s="2"/>
      <c r="CH715" s="2"/>
      <c r="CI715" s="2"/>
      <c r="CJ715" s="2"/>
      <c r="CK715" s="2"/>
      <c r="CL715" s="2"/>
      <c r="CM715" s="2"/>
      <c r="CN715" s="2"/>
      <c r="CO715" s="2"/>
      <c r="CP715" s="2"/>
      <c r="CQ715" s="2"/>
      <c r="CR715" s="2"/>
      <c r="CS715" s="2"/>
      <c r="CT715" s="2"/>
      <c r="CU715" s="2"/>
      <c r="CV715" s="2"/>
      <c r="CW715" s="2"/>
      <c r="CX715" s="2"/>
      <c r="CY715" s="2"/>
      <c r="CZ715" s="2"/>
      <c r="DA715" s="2"/>
      <c r="DB715" s="2"/>
      <c r="DC715" s="2"/>
      <c r="DD715" s="2"/>
      <c r="DE715" s="2"/>
      <c r="DF715" s="2"/>
      <c r="DG715" s="3"/>
      <c r="DH715" s="3"/>
      <c r="DI715" s="3"/>
      <c r="DJ715" s="3"/>
      <c r="DK715" s="3"/>
      <c r="DL715" s="3"/>
      <c r="DM715" s="3"/>
      <c r="DN715" s="3"/>
      <c r="DO715" s="3"/>
      <c r="DP715" s="3"/>
      <c r="DQ715" s="3"/>
      <c r="DR715" s="3"/>
      <c r="DS715" s="3"/>
      <c r="DT715" s="3"/>
      <c r="DU715" s="3"/>
      <c r="DV715" s="3"/>
      <c r="DW715" s="3"/>
      <c r="DX715" s="3"/>
      <c r="DY715" s="3"/>
      <c r="DZ715" s="3"/>
      <c r="EA715" s="3"/>
      <c r="EB715" s="3"/>
      <c r="EC715" s="3"/>
      <c r="ED715" s="3"/>
      <c r="EE715" s="3"/>
      <c r="EF715" s="3"/>
      <c r="EG715" s="3"/>
      <c r="EH715" s="3"/>
      <c r="EI715" s="3"/>
      <c r="EJ715" s="3"/>
      <c r="EK715" s="3"/>
      <c r="EL715" s="3"/>
      <c r="EM715" s="3"/>
      <c r="EN715" s="3"/>
      <c r="EO715" s="3"/>
      <c r="EP715" s="3"/>
      <c r="EQ715" s="3"/>
      <c r="ER715" s="3"/>
      <c r="ES715" s="3"/>
      <c r="ET715" s="3"/>
      <c r="EU715" s="3"/>
      <c r="EV715" s="3"/>
      <c r="EW715" s="3"/>
      <c r="EX715" s="3"/>
      <c r="EY715" s="3"/>
      <c r="EZ715" s="3"/>
      <c r="FA715" s="3"/>
      <c r="FB715" s="3"/>
      <c r="FC715" s="3"/>
      <c r="FD715" s="3"/>
      <c r="FE715" s="3"/>
      <c r="FF715" s="3"/>
      <c r="FG715" s="3"/>
      <c r="FH715" s="3"/>
      <c r="FI715" s="3"/>
      <c r="FJ715" s="3"/>
      <c r="FK715" s="3"/>
      <c r="FL715" s="3"/>
      <c r="FM715" s="3"/>
      <c r="FN715" s="3"/>
      <c r="FO715" s="3"/>
      <c r="FP715" s="3"/>
      <c r="FQ715" s="3"/>
      <c r="FR715" s="3"/>
      <c r="FS715" s="3"/>
      <c r="FT715" s="3"/>
      <c r="FU715" s="3"/>
      <c r="FV715" s="3"/>
      <c r="FW715" s="3"/>
      <c r="FX715" s="3"/>
      <c r="FY715" s="3"/>
      <c r="FZ715" s="3"/>
      <c r="GA715" s="3"/>
      <c r="GB715" s="3"/>
      <c r="GC715" s="3"/>
      <c r="GD715" s="3"/>
      <c r="GE715" s="3"/>
      <c r="GF715" s="3"/>
      <c r="GG715" s="3"/>
      <c r="GH715" s="3"/>
      <c r="GI715" s="3"/>
      <c r="GJ715" s="3"/>
      <c r="GK715" s="3"/>
      <c r="GL715" s="3"/>
      <c r="GM715" s="3"/>
      <c r="GN715" s="3"/>
      <c r="GO715" s="3"/>
      <c r="GP715" s="3"/>
      <c r="GQ715" s="3"/>
      <c r="GR715" s="3"/>
      <c r="GS715" s="3"/>
      <c r="GT715" s="3"/>
      <c r="GU715" s="3"/>
      <c r="GV715" s="3"/>
      <c r="GW715" s="3"/>
      <c r="GX715" s="3">
        <v>0</v>
      </c>
    </row>
    <row r="717" spans="1:206" x14ac:dyDescent="0.2">
      <c r="A717" s="4">
        <v>50</v>
      </c>
      <c r="B717" s="4">
        <v>0</v>
      </c>
      <c r="C717" s="4">
        <v>0</v>
      </c>
      <c r="D717" s="4">
        <v>1</v>
      </c>
      <c r="E717" s="4">
        <v>201</v>
      </c>
      <c r="F717" s="4">
        <f>ROUND(Source!O715,O717)</f>
        <v>490752.66</v>
      </c>
      <c r="G717" s="4" t="s">
        <v>98</v>
      </c>
      <c r="H717" s="4" t="s">
        <v>99</v>
      </c>
      <c r="I717" s="4"/>
      <c r="J717" s="4"/>
      <c r="K717" s="4">
        <v>201</v>
      </c>
      <c r="L717" s="4">
        <v>1</v>
      </c>
      <c r="M717" s="4">
        <v>3</v>
      </c>
      <c r="N717" s="4" t="s">
        <v>3</v>
      </c>
      <c r="O717" s="4">
        <v>2</v>
      </c>
      <c r="P717" s="4"/>
      <c r="Q717" s="4"/>
      <c r="R717" s="4"/>
      <c r="S717" s="4"/>
      <c r="T717" s="4"/>
      <c r="U717" s="4"/>
      <c r="V717" s="4"/>
      <c r="W717" s="4">
        <v>455859.44</v>
      </c>
      <c r="X717" s="4">
        <v>1</v>
      </c>
      <c r="Y717" s="4">
        <v>455859.44</v>
      </c>
      <c r="Z717" s="4"/>
      <c r="AA717" s="4"/>
      <c r="AB717" s="4"/>
    </row>
    <row r="718" spans="1:206" x14ac:dyDescent="0.2">
      <c r="A718" s="4">
        <v>50</v>
      </c>
      <c r="B718" s="4">
        <v>0</v>
      </c>
      <c r="C718" s="4">
        <v>0</v>
      </c>
      <c r="D718" s="4">
        <v>1</v>
      </c>
      <c r="E718" s="4">
        <v>202</v>
      </c>
      <c r="F718" s="4">
        <f>ROUND(Source!P715,O718)</f>
        <v>3714.21</v>
      </c>
      <c r="G718" s="4" t="s">
        <v>100</v>
      </c>
      <c r="H718" s="4" t="s">
        <v>101</v>
      </c>
      <c r="I718" s="4"/>
      <c r="J718" s="4"/>
      <c r="K718" s="4">
        <v>202</v>
      </c>
      <c r="L718" s="4">
        <v>2</v>
      </c>
      <c r="M718" s="4">
        <v>3</v>
      </c>
      <c r="N718" s="4" t="s">
        <v>3</v>
      </c>
      <c r="O718" s="4">
        <v>2</v>
      </c>
      <c r="P718" s="4"/>
      <c r="Q718" s="4"/>
      <c r="R718" s="4"/>
      <c r="S718" s="4"/>
      <c r="T718" s="4"/>
      <c r="U718" s="4"/>
      <c r="V718" s="4"/>
      <c r="W718" s="4">
        <v>3364.03</v>
      </c>
      <c r="X718" s="4">
        <v>1</v>
      </c>
      <c r="Y718" s="4">
        <v>3364.03</v>
      </c>
      <c r="Z718" s="4"/>
      <c r="AA718" s="4"/>
      <c r="AB718" s="4"/>
    </row>
    <row r="719" spans="1:206" x14ac:dyDescent="0.2">
      <c r="A719" s="4">
        <v>50</v>
      </c>
      <c r="B719" s="4">
        <v>0</v>
      </c>
      <c r="C719" s="4">
        <v>0</v>
      </c>
      <c r="D719" s="4">
        <v>1</v>
      </c>
      <c r="E719" s="4">
        <v>222</v>
      </c>
      <c r="F719" s="4">
        <f>ROUND(Source!AO715,O719)</f>
        <v>0</v>
      </c>
      <c r="G719" s="4" t="s">
        <v>102</v>
      </c>
      <c r="H719" s="4" t="s">
        <v>103</v>
      </c>
      <c r="I719" s="4"/>
      <c r="J719" s="4"/>
      <c r="K719" s="4">
        <v>222</v>
      </c>
      <c r="L719" s="4">
        <v>3</v>
      </c>
      <c r="M719" s="4">
        <v>3</v>
      </c>
      <c r="N719" s="4" t="s">
        <v>3</v>
      </c>
      <c r="O719" s="4">
        <v>2</v>
      </c>
      <c r="P719" s="4"/>
      <c r="Q719" s="4"/>
      <c r="R719" s="4"/>
      <c r="S719" s="4"/>
      <c r="T719" s="4"/>
      <c r="U719" s="4"/>
      <c r="V719" s="4"/>
      <c r="W719" s="4">
        <v>0</v>
      </c>
      <c r="X719" s="4">
        <v>1</v>
      </c>
      <c r="Y719" s="4">
        <v>0</v>
      </c>
      <c r="Z719" s="4"/>
      <c r="AA719" s="4"/>
      <c r="AB719" s="4"/>
    </row>
    <row r="720" spans="1:206" x14ac:dyDescent="0.2">
      <c r="A720" s="4">
        <v>50</v>
      </c>
      <c r="B720" s="4">
        <v>0</v>
      </c>
      <c r="C720" s="4">
        <v>0</v>
      </c>
      <c r="D720" s="4">
        <v>1</v>
      </c>
      <c r="E720" s="4">
        <v>225</v>
      </c>
      <c r="F720" s="4">
        <f>ROUND(Source!AV715,O720)</f>
        <v>3714.21</v>
      </c>
      <c r="G720" s="4" t="s">
        <v>104</v>
      </c>
      <c r="H720" s="4" t="s">
        <v>105</v>
      </c>
      <c r="I720" s="4"/>
      <c r="J720" s="4"/>
      <c r="K720" s="4">
        <v>225</v>
      </c>
      <c r="L720" s="4">
        <v>4</v>
      </c>
      <c r="M720" s="4">
        <v>3</v>
      </c>
      <c r="N720" s="4" t="s">
        <v>3</v>
      </c>
      <c r="O720" s="4">
        <v>2</v>
      </c>
      <c r="P720" s="4"/>
      <c r="Q720" s="4"/>
      <c r="R720" s="4"/>
      <c r="S720" s="4"/>
      <c r="T720" s="4"/>
      <c r="U720" s="4"/>
      <c r="V720" s="4"/>
      <c r="W720" s="4">
        <v>3364.03</v>
      </c>
      <c r="X720" s="4">
        <v>1</v>
      </c>
      <c r="Y720" s="4">
        <v>3364.03</v>
      </c>
      <c r="Z720" s="4"/>
      <c r="AA720" s="4"/>
      <c r="AB720" s="4"/>
    </row>
    <row r="721" spans="1:28" x14ac:dyDescent="0.2">
      <c r="A721" s="4">
        <v>50</v>
      </c>
      <c r="B721" s="4">
        <v>0</v>
      </c>
      <c r="C721" s="4">
        <v>0</v>
      </c>
      <c r="D721" s="4">
        <v>1</v>
      </c>
      <c r="E721" s="4">
        <v>226</v>
      </c>
      <c r="F721" s="4">
        <f>ROUND(Source!AW715,O721)</f>
        <v>3714.21</v>
      </c>
      <c r="G721" s="4" t="s">
        <v>106</v>
      </c>
      <c r="H721" s="4" t="s">
        <v>107</v>
      </c>
      <c r="I721" s="4"/>
      <c r="J721" s="4"/>
      <c r="K721" s="4">
        <v>226</v>
      </c>
      <c r="L721" s="4">
        <v>5</v>
      </c>
      <c r="M721" s="4">
        <v>3</v>
      </c>
      <c r="N721" s="4" t="s">
        <v>3</v>
      </c>
      <c r="O721" s="4">
        <v>2</v>
      </c>
      <c r="P721" s="4"/>
      <c r="Q721" s="4"/>
      <c r="R721" s="4"/>
      <c r="S721" s="4"/>
      <c r="T721" s="4"/>
      <c r="U721" s="4"/>
      <c r="V721" s="4"/>
      <c r="W721" s="4">
        <v>3364.03</v>
      </c>
      <c r="X721" s="4">
        <v>1</v>
      </c>
      <c r="Y721" s="4">
        <v>3364.03</v>
      </c>
      <c r="Z721" s="4"/>
      <c r="AA721" s="4"/>
      <c r="AB721" s="4"/>
    </row>
    <row r="722" spans="1:28" x14ac:dyDescent="0.2">
      <c r="A722" s="4">
        <v>50</v>
      </c>
      <c r="B722" s="4">
        <v>0</v>
      </c>
      <c r="C722" s="4">
        <v>0</v>
      </c>
      <c r="D722" s="4">
        <v>1</v>
      </c>
      <c r="E722" s="4">
        <v>227</v>
      </c>
      <c r="F722" s="4">
        <f>ROUND(Source!AX715,O722)</f>
        <v>0</v>
      </c>
      <c r="G722" s="4" t="s">
        <v>108</v>
      </c>
      <c r="H722" s="4" t="s">
        <v>109</v>
      </c>
      <c r="I722" s="4"/>
      <c r="J722" s="4"/>
      <c r="K722" s="4">
        <v>227</v>
      </c>
      <c r="L722" s="4">
        <v>6</v>
      </c>
      <c r="M722" s="4">
        <v>3</v>
      </c>
      <c r="N722" s="4" t="s">
        <v>3</v>
      </c>
      <c r="O722" s="4">
        <v>2</v>
      </c>
      <c r="P722" s="4"/>
      <c r="Q722" s="4"/>
      <c r="R722" s="4"/>
      <c r="S722" s="4"/>
      <c r="T722" s="4"/>
      <c r="U722" s="4"/>
      <c r="V722" s="4"/>
      <c r="W722" s="4">
        <v>0</v>
      </c>
      <c r="X722" s="4">
        <v>1</v>
      </c>
      <c r="Y722" s="4">
        <v>0</v>
      </c>
      <c r="Z722" s="4"/>
      <c r="AA722" s="4"/>
      <c r="AB722" s="4"/>
    </row>
    <row r="723" spans="1:28" x14ac:dyDescent="0.2">
      <c r="A723" s="4">
        <v>50</v>
      </c>
      <c r="B723" s="4">
        <v>0</v>
      </c>
      <c r="C723" s="4">
        <v>0</v>
      </c>
      <c r="D723" s="4">
        <v>1</v>
      </c>
      <c r="E723" s="4">
        <v>228</v>
      </c>
      <c r="F723" s="4">
        <f>ROUND(Source!AY715,O723)</f>
        <v>3714.21</v>
      </c>
      <c r="G723" s="4" t="s">
        <v>110</v>
      </c>
      <c r="H723" s="4" t="s">
        <v>111</v>
      </c>
      <c r="I723" s="4"/>
      <c r="J723" s="4"/>
      <c r="K723" s="4">
        <v>228</v>
      </c>
      <c r="L723" s="4">
        <v>7</v>
      </c>
      <c r="M723" s="4">
        <v>3</v>
      </c>
      <c r="N723" s="4" t="s">
        <v>3</v>
      </c>
      <c r="O723" s="4">
        <v>2</v>
      </c>
      <c r="P723" s="4"/>
      <c r="Q723" s="4"/>
      <c r="R723" s="4"/>
      <c r="S723" s="4"/>
      <c r="T723" s="4"/>
      <c r="U723" s="4"/>
      <c r="V723" s="4"/>
      <c r="W723" s="4">
        <v>3364.03</v>
      </c>
      <c r="X723" s="4">
        <v>1</v>
      </c>
      <c r="Y723" s="4">
        <v>3364.03</v>
      </c>
      <c r="Z723" s="4"/>
      <c r="AA723" s="4"/>
      <c r="AB723" s="4"/>
    </row>
    <row r="724" spans="1:28" x14ac:dyDescent="0.2">
      <c r="A724" s="4">
        <v>50</v>
      </c>
      <c r="B724" s="4">
        <v>0</v>
      </c>
      <c r="C724" s="4">
        <v>0</v>
      </c>
      <c r="D724" s="4">
        <v>1</v>
      </c>
      <c r="E724" s="4">
        <v>216</v>
      </c>
      <c r="F724" s="4">
        <f>ROUND(Source!AP715,O724)</f>
        <v>0</v>
      </c>
      <c r="G724" s="4" t="s">
        <v>112</v>
      </c>
      <c r="H724" s="4" t="s">
        <v>113</v>
      </c>
      <c r="I724" s="4"/>
      <c r="J724" s="4"/>
      <c r="K724" s="4">
        <v>216</v>
      </c>
      <c r="L724" s="4">
        <v>8</v>
      </c>
      <c r="M724" s="4">
        <v>3</v>
      </c>
      <c r="N724" s="4" t="s">
        <v>3</v>
      </c>
      <c r="O724" s="4">
        <v>2</v>
      </c>
      <c r="P724" s="4"/>
      <c r="Q724" s="4"/>
      <c r="R724" s="4"/>
      <c r="S724" s="4"/>
      <c r="T724" s="4"/>
      <c r="U724" s="4"/>
      <c r="V724" s="4"/>
      <c r="W724" s="4">
        <v>0</v>
      </c>
      <c r="X724" s="4">
        <v>1</v>
      </c>
      <c r="Y724" s="4">
        <v>0</v>
      </c>
      <c r="Z724" s="4"/>
      <c r="AA724" s="4"/>
      <c r="AB724" s="4"/>
    </row>
    <row r="725" spans="1:28" x14ac:dyDescent="0.2">
      <c r="A725" s="4">
        <v>50</v>
      </c>
      <c r="B725" s="4">
        <v>0</v>
      </c>
      <c r="C725" s="4">
        <v>0</v>
      </c>
      <c r="D725" s="4">
        <v>1</v>
      </c>
      <c r="E725" s="4">
        <v>223</v>
      </c>
      <c r="F725" s="4">
        <f>ROUND(Source!AQ715,O725)</f>
        <v>0</v>
      </c>
      <c r="G725" s="4" t="s">
        <v>114</v>
      </c>
      <c r="H725" s="4" t="s">
        <v>115</v>
      </c>
      <c r="I725" s="4"/>
      <c r="J725" s="4"/>
      <c r="K725" s="4">
        <v>223</v>
      </c>
      <c r="L725" s="4">
        <v>9</v>
      </c>
      <c r="M725" s="4">
        <v>3</v>
      </c>
      <c r="N725" s="4" t="s">
        <v>3</v>
      </c>
      <c r="O725" s="4">
        <v>2</v>
      </c>
      <c r="P725" s="4"/>
      <c r="Q725" s="4"/>
      <c r="R725" s="4"/>
      <c r="S725" s="4"/>
      <c r="T725" s="4"/>
      <c r="U725" s="4"/>
      <c r="V725" s="4"/>
      <c r="W725" s="4">
        <v>0</v>
      </c>
      <c r="X725" s="4">
        <v>1</v>
      </c>
      <c r="Y725" s="4">
        <v>0</v>
      </c>
      <c r="Z725" s="4"/>
      <c r="AA725" s="4"/>
      <c r="AB725" s="4"/>
    </row>
    <row r="726" spans="1:28" x14ac:dyDescent="0.2">
      <c r="A726" s="4">
        <v>50</v>
      </c>
      <c r="B726" s="4">
        <v>0</v>
      </c>
      <c r="C726" s="4">
        <v>0</v>
      </c>
      <c r="D726" s="4">
        <v>1</v>
      </c>
      <c r="E726" s="4">
        <v>229</v>
      </c>
      <c r="F726" s="4">
        <f>ROUND(Source!AZ715,O726)</f>
        <v>0</v>
      </c>
      <c r="G726" s="4" t="s">
        <v>116</v>
      </c>
      <c r="H726" s="4" t="s">
        <v>117</v>
      </c>
      <c r="I726" s="4"/>
      <c r="J726" s="4"/>
      <c r="K726" s="4">
        <v>229</v>
      </c>
      <c r="L726" s="4">
        <v>10</v>
      </c>
      <c r="M726" s="4">
        <v>3</v>
      </c>
      <c r="N726" s="4" t="s">
        <v>3</v>
      </c>
      <c r="O726" s="4">
        <v>2</v>
      </c>
      <c r="P726" s="4"/>
      <c r="Q726" s="4"/>
      <c r="R726" s="4"/>
      <c r="S726" s="4"/>
      <c r="T726" s="4"/>
      <c r="U726" s="4"/>
      <c r="V726" s="4"/>
      <c r="W726" s="4">
        <v>0</v>
      </c>
      <c r="X726" s="4">
        <v>1</v>
      </c>
      <c r="Y726" s="4">
        <v>0</v>
      </c>
      <c r="Z726" s="4"/>
      <c r="AA726" s="4"/>
      <c r="AB726" s="4"/>
    </row>
    <row r="727" spans="1:28" x14ac:dyDescent="0.2">
      <c r="A727" s="4">
        <v>50</v>
      </c>
      <c r="B727" s="4">
        <v>0</v>
      </c>
      <c r="C727" s="4">
        <v>0</v>
      </c>
      <c r="D727" s="4">
        <v>1</v>
      </c>
      <c r="E727" s="4">
        <v>203</v>
      </c>
      <c r="F727" s="4">
        <f>ROUND(Source!Q715,O727)</f>
        <v>23930.16</v>
      </c>
      <c r="G727" s="4" t="s">
        <v>118</v>
      </c>
      <c r="H727" s="4" t="s">
        <v>119</v>
      </c>
      <c r="I727" s="4"/>
      <c r="J727" s="4"/>
      <c r="K727" s="4">
        <v>203</v>
      </c>
      <c r="L727" s="4">
        <v>11</v>
      </c>
      <c r="M727" s="4">
        <v>3</v>
      </c>
      <c r="N727" s="4" t="s">
        <v>3</v>
      </c>
      <c r="O727" s="4">
        <v>2</v>
      </c>
      <c r="P727" s="4"/>
      <c r="Q727" s="4"/>
      <c r="R727" s="4"/>
      <c r="S727" s="4"/>
      <c r="T727" s="4"/>
      <c r="U727" s="4"/>
      <c r="V727" s="4"/>
      <c r="W727" s="4">
        <v>21572.400000000001</v>
      </c>
      <c r="X727" s="4">
        <v>1</v>
      </c>
      <c r="Y727" s="4">
        <v>21572.400000000001</v>
      </c>
      <c r="Z727" s="4"/>
      <c r="AA727" s="4"/>
      <c r="AB727" s="4"/>
    </row>
    <row r="728" spans="1:28" x14ac:dyDescent="0.2">
      <c r="A728" s="4">
        <v>50</v>
      </c>
      <c r="B728" s="4">
        <v>0</v>
      </c>
      <c r="C728" s="4">
        <v>0</v>
      </c>
      <c r="D728" s="4">
        <v>1</v>
      </c>
      <c r="E728" s="4">
        <v>231</v>
      </c>
      <c r="F728" s="4">
        <f>ROUND(Source!BB715,O728)</f>
        <v>0</v>
      </c>
      <c r="G728" s="4" t="s">
        <v>120</v>
      </c>
      <c r="H728" s="4" t="s">
        <v>121</v>
      </c>
      <c r="I728" s="4"/>
      <c r="J728" s="4"/>
      <c r="K728" s="4">
        <v>231</v>
      </c>
      <c r="L728" s="4">
        <v>12</v>
      </c>
      <c r="M728" s="4">
        <v>3</v>
      </c>
      <c r="N728" s="4" t="s">
        <v>3</v>
      </c>
      <c r="O728" s="4">
        <v>2</v>
      </c>
      <c r="P728" s="4"/>
      <c r="Q728" s="4"/>
      <c r="R728" s="4"/>
      <c r="S728" s="4"/>
      <c r="T728" s="4"/>
      <c r="U728" s="4"/>
      <c r="V728" s="4"/>
      <c r="W728" s="4">
        <v>0</v>
      </c>
      <c r="X728" s="4">
        <v>1</v>
      </c>
      <c r="Y728" s="4">
        <v>0</v>
      </c>
      <c r="Z728" s="4"/>
      <c r="AA728" s="4"/>
      <c r="AB728" s="4"/>
    </row>
    <row r="729" spans="1:28" x14ac:dyDescent="0.2">
      <c r="A729" s="4">
        <v>50</v>
      </c>
      <c r="B729" s="4">
        <v>0</v>
      </c>
      <c r="C729" s="4">
        <v>0</v>
      </c>
      <c r="D729" s="4">
        <v>1</v>
      </c>
      <c r="E729" s="4">
        <v>204</v>
      </c>
      <c r="F729" s="4">
        <f>ROUND(Source!R715,O729)</f>
        <v>15128.42</v>
      </c>
      <c r="G729" s="4" t="s">
        <v>122</v>
      </c>
      <c r="H729" s="4" t="s">
        <v>123</v>
      </c>
      <c r="I729" s="4"/>
      <c r="J729" s="4"/>
      <c r="K729" s="4">
        <v>204</v>
      </c>
      <c r="L729" s="4">
        <v>13</v>
      </c>
      <c r="M729" s="4">
        <v>3</v>
      </c>
      <c r="N729" s="4" t="s">
        <v>3</v>
      </c>
      <c r="O729" s="4">
        <v>2</v>
      </c>
      <c r="P729" s="4"/>
      <c r="Q729" s="4"/>
      <c r="R729" s="4"/>
      <c r="S729" s="4"/>
      <c r="T729" s="4"/>
      <c r="U729" s="4"/>
      <c r="V729" s="4"/>
      <c r="W729" s="4">
        <v>13641.18</v>
      </c>
      <c r="X729" s="4">
        <v>1</v>
      </c>
      <c r="Y729" s="4">
        <v>13641.18</v>
      </c>
      <c r="Z729" s="4"/>
      <c r="AA729" s="4"/>
      <c r="AB729" s="4"/>
    </row>
    <row r="730" spans="1:28" x14ac:dyDescent="0.2">
      <c r="A730" s="4">
        <v>50</v>
      </c>
      <c r="B730" s="4">
        <v>0</v>
      </c>
      <c r="C730" s="4">
        <v>0</v>
      </c>
      <c r="D730" s="4">
        <v>1</v>
      </c>
      <c r="E730" s="4">
        <v>205</v>
      </c>
      <c r="F730" s="4">
        <f>ROUND(Source!S715,O730)</f>
        <v>463108.29</v>
      </c>
      <c r="G730" s="4" t="s">
        <v>124</v>
      </c>
      <c r="H730" s="4" t="s">
        <v>125</v>
      </c>
      <c r="I730" s="4"/>
      <c r="J730" s="4"/>
      <c r="K730" s="4">
        <v>205</v>
      </c>
      <c r="L730" s="4">
        <v>14</v>
      </c>
      <c r="M730" s="4">
        <v>3</v>
      </c>
      <c r="N730" s="4" t="s">
        <v>3</v>
      </c>
      <c r="O730" s="4">
        <v>2</v>
      </c>
      <c r="P730" s="4"/>
      <c r="Q730" s="4"/>
      <c r="R730" s="4"/>
      <c r="S730" s="4"/>
      <c r="T730" s="4"/>
      <c r="U730" s="4"/>
      <c r="V730" s="4"/>
      <c r="W730" s="4">
        <v>430923.01</v>
      </c>
      <c r="X730" s="4">
        <v>1</v>
      </c>
      <c r="Y730" s="4">
        <v>430923.01</v>
      </c>
      <c r="Z730" s="4"/>
      <c r="AA730" s="4"/>
      <c r="AB730" s="4"/>
    </row>
    <row r="731" spans="1:28" x14ac:dyDescent="0.2">
      <c r="A731" s="4">
        <v>50</v>
      </c>
      <c r="B731" s="4">
        <v>0</v>
      </c>
      <c r="C731" s="4">
        <v>0</v>
      </c>
      <c r="D731" s="4">
        <v>1</v>
      </c>
      <c r="E731" s="4">
        <v>232</v>
      </c>
      <c r="F731" s="4">
        <f>ROUND(Source!BC715,O731)</f>
        <v>0</v>
      </c>
      <c r="G731" s="4" t="s">
        <v>126</v>
      </c>
      <c r="H731" s="4" t="s">
        <v>127</v>
      </c>
      <c r="I731" s="4"/>
      <c r="J731" s="4"/>
      <c r="K731" s="4">
        <v>232</v>
      </c>
      <c r="L731" s="4">
        <v>15</v>
      </c>
      <c r="M731" s="4">
        <v>3</v>
      </c>
      <c r="N731" s="4" t="s">
        <v>3</v>
      </c>
      <c r="O731" s="4">
        <v>2</v>
      </c>
      <c r="P731" s="4"/>
      <c r="Q731" s="4"/>
      <c r="R731" s="4"/>
      <c r="S731" s="4"/>
      <c r="T731" s="4"/>
      <c r="U731" s="4"/>
      <c r="V731" s="4"/>
      <c r="W731" s="4">
        <v>0</v>
      </c>
      <c r="X731" s="4">
        <v>1</v>
      </c>
      <c r="Y731" s="4">
        <v>0</v>
      </c>
      <c r="Z731" s="4"/>
      <c r="AA731" s="4"/>
      <c r="AB731" s="4"/>
    </row>
    <row r="732" spans="1:28" x14ac:dyDescent="0.2">
      <c r="A732" s="4">
        <v>50</v>
      </c>
      <c r="B732" s="4">
        <v>0</v>
      </c>
      <c r="C732" s="4">
        <v>0</v>
      </c>
      <c r="D732" s="4">
        <v>1</v>
      </c>
      <c r="E732" s="4">
        <v>214</v>
      </c>
      <c r="F732" s="4">
        <f>ROUND(Source!AS715,O732)</f>
        <v>0</v>
      </c>
      <c r="G732" s="4" t="s">
        <v>128</v>
      </c>
      <c r="H732" s="4" t="s">
        <v>129</v>
      </c>
      <c r="I732" s="4"/>
      <c r="J732" s="4"/>
      <c r="K732" s="4">
        <v>214</v>
      </c>
      <c r="L732" s="4">
        <v>16</v>
      </c>
      <c r="M732" s="4">
        <v>3</v>
      </c>
      <c r="N732" s="4" t="s">
        <v>3</v>
      </c>
      <c r="O732" s="4">
        <v>2</v>
      </c>
      <c r="P732" s="4"/>
      <c r="Q732" s="4"/>
      <c r="R732" s="4"/>
      <c r="S732" s="4"/>
      <c r="T732" s="4"/>
      <c r="U732" s="4"/>
      <c r="V732" s="4"/>
      <c r="W732" s="4">
        <v>0</v>
      </c>
      <c r="X732" s="4">
        <v>1</v>
      </c>
      <c r="Y732" s="4">
        <v>0</v>
      </c>
      <c r="Z732" s="4"/>
      <c r="AA732" s="4"/>
      <c r="AB732" s="4"/>
    </row>
    <row r="733" spans="1:28" x14ac:dyDescent="0.2">
      <c r="A733" s="4">
        <v>50</v>
      </c>
      <c r="B733" s="4">
        <v>0</v>
      </c>
      <c r="C733" s="4">
        <v>0</v>
      </c>
      <c r="D733" s="4">
        <v>1</v>
      </c>
      <c r="E733" s="4">
        <v>215</v>
      </c>
      <c r="F733" s="4">
        <f>ROUND(Source!AT715,O733)</f>
        <v>0</v>
      </c>
      <c r="G733" s="4" t="s">
        <v>130</v>
      </c>
      <c r="H733" s="4" t="s">
        <v>131</v>
      </c>
      <c r="I733" s="4"/>
      <c r="J733" s="4"/>
      <c r="K733" s="4">
        <v>215</v>
      </c>
      <c r="L733" s="4">
        <v>17</v>
      </c>
      <c r="M733" s="4">
        <v>3</v>
      </c>
      <c r="N733" s="4" t="s">
        <v>3</v>
      </c>
      <c r="O733" s="4">
        <v>2</v>
      </c>
      <c r="P733" s="4"/>
      <c r="Q733" s="4"/>
      <c r="R733" s="4"/>
      <c r="S733" s="4"/>
      <c r="T733" s="4"/>
      <c r="U733" s="4"/>
      <c r="V733" s="4"/>
      <c r="W733" s="4">
        <v>0</v>
      </c>
      <c r="X733" s="4">
        <v>1</v>
      </c>
      <c r="Y733" s="4">
        <v>0</v>
      </c>
      <c r="Z733" s="4"/>
      <c r="AA733" s="4"/>
      <c r="AB733" s="4"/>
    </row>
    <row r="734" spans="1:28" x14ac:dyDescent="0.2">
      <c r="A734" s="4">
        <v>50</v>
      </c>
      <c r="B734" s="4">
        <v>0</v>
      </c>
      <c r="C734" s="4">
        <v>0</v>
      </c>
      <c r="D734" s="4">
        <v>1</v>
      </c>
      <c r="E734" s="4">
        <v>217</v>
      </c>
      <c r="F734" s="4">
        <f>ROUND(Source!AU715,O734)</f>
        <v>877578.04</v>
      </c>
      <c r="G734" s="4" t="s">
        <v>132</v>
      </c>
      <c r="H734" s="4" t="s">
        <v>133</v>
      </c>
      <c r="I734" s="4"/>
      <c r="J734" s="4"/>
      <c r="K734" s="4">
        <v>217</v>
      </c>
      <c r="L734" s="4">
        <v>18</v>
      </c>
      <c r="M734" s="4">
        <v>3</v>
      </c>
      <c r="N734" s="4" t="s">
        <v>3</v>
      </c>
      <c r="O734" s="4">
        <v>2</v>
      </c>
      <c r="P734" s="4"/>
      <c r="Q734" s="4"/>
      <c r="R734" s="4"/>
      <c r="S734" s="4"/>
      <c r="T734" s="4"/>
      <c r="U734" s="4"/>
      <c r="V734" s="4"/>
      <c r="W734" s="4">
        <v>815330.34</v>
      </c>
      <c r="X734" s="4">
        <v>1</v>
      </c>
      <c r="Y734" s="4">
        <v>815330.34</v>
      </c>
      <c r="Z734" s="4"/>
      <c r="AA734" s="4"/>
      <c r="AB734" s="4"/>
    </row>
    <row r="735" spans="1:28" x14ac:dyDescent="0.2">
      <c r="A735" s="4">
        <v>50</v>
      </c>
      <c r="B735" s="4">
        <v>0</v>
      </c>
      <c r="C735" s="4">
        <v>0</v>
      </c>
      <c r="D735" s="4">
        <v>1</v>
      </c>
      <c r="E735" s="4">
        <v>230</v>
      </c>
      <c r="F735" s="4">
        <f>ROUND(Source!BA715,O735)</f>
        <v>0</v>
      </c>
      <c r="G735" s="4" t="s">
        <v>134</v>
      </c>
      <c r="H735" s="4" t="s">
        <v>135</v>
      </c>
      <c r="I735" s="4"/>
      <c r="J735" s="4"/>
      <c r="K735" s="4">
        <v>230</v>
      </c>
      <c r="L735" s="4">
        <v>19</v>
      </c>
      <c r="M735" s="4">
        <v>3</v>
      </c>
      <c r="N735" s="4" t="s">
        <v>3</v>
      </c>
      <c r="O735" s="4">
        <v>2</v>
      </c>
      <c r="P735" s="4"/>
      <c r="Q735" s="4"/>
      <c r="R735" s="4"/>
      <c r="S735" s="4"/>
      <c r="T735" s="4"/>
      <c r="U735" s="4"/>
      <c r="V735" s="4"/>
      <c r="W735" s="4">
        <v>0</v>
      </c>
      <c r="X735" s="4">
        <v>1</v>
      </c>
      <c r="Y735" s="4">
        <v>0</v>
      </c>
      <c r="Z735" s="4"/>
      <c r="AA735" s="4"/>
      <c r="AB735" s="4"/>
    </row>
    <row r="736" spans="1:28" x14ac:dyDescent="0.2">
      <c r="A736" s="4">
        <v>50</v>
      </c>
      <c r="B736" s="4">
        <v>0</v>
      </c>
      <c r="C736" s="4">
        <v>0</v>
      </c>
      <c r="D736" s="4">
        <v>1</v>
      </c>
      <c r="E736" s="4">
        <v>206</v>
      </c>
      <c r="F736" s="4">
        <f>ROUND(Source!T715,O736)</f>
        <v>0</v>
      </c>
      <c r="G736" s="4" t="s">
        <v>136</v>
      </c>
      <c r="H736" s="4" t="s">
        <v>137</v>
      </c>
      <c r="I736" s="4"/>
      <c r="J736" s="4"/>
      <c r="K736" s="4">
        <v>206</v>
      </c>
      <c r="L736" s="4">
        <v>20</v>
      </c>
      <c r="M736" s="4">
        <v>3</v>
      </c>
      <c r="N736" s="4" t="s">
        <v>3</v>
      </c>
      <c r="O736" s="4">
        <v>2</v>
      </c>
      <c r="P736" s="4"/>
      <c r="Q736" s="4"/>
      <c r="R736" s="4"/>
      <c r="S736" s="4"/>
      <c r="T736" s="4"/>
      <c r="U736" s="4"/>
      <c r="V736" s="4"/>
      <c r="W736" s="4">
        <v>0</v>
      </c>
      <c r="X736" s="4">
        <v>1</v>
      </c>
      <c r="Y736" s="4">
        <v>0</v>
      </c>
      <c r="Z736" s="4"/>
      <c r="AA736" s="4"/>
      <c r="AB736" s="4"/>
    </row>
    <row r="737" spans="1:206" x14ac:dyDescent="0.2">
      <c r="A737" s="4">
        <v>50</v>
      </c>
      <c r="B737" s="4">
        <v>0</v>
      </c>
      <c r="C737" s="4">
        <v>0</v>
      </c>
      <c r="D737" s="4">
        <v>1</v>
      </c>
      <c r="E737" s="4">
        <v>207</v>
      </c>
      <c r="F737" s="4">
        <f>Source!U715</f>
        <v>765.64099999999985</v>
      </c>
      <c r="G737" s="4" t="s">
        <v>138</v>
      </c>
      <c r="H737" s="4" t="s">
        <v>139</v>
      </c>
      <c r="I737" s="4"/>
      <c r="J737" s="4"/>
      <c r="K737" s="4">
        <v>207</v>
      </c>
      <c r="L737" s="4">
        <v>21</v>
      </c>
      <c r="M737" s="4">
        <v>3</v>
      </c>
      <c r="N737" s="4" t="s">
        <v>3</v>
      </c>
      <c r="O737" s="4">
        <v>-1</v>
      </c>
      <c r="P737" s="4"/>
      <c r="Q737" s="4"/>
      <c r="R737" s="4"/>
      <c r="S737" s="4"/>
      <c r="T737" s="4"/>
      <c r="U737" s="4"/>
      <c r="V737" s="4"/>
      <c r="W737" s="4">
        <v>703.81799999999987</v>
      </c>
      <c r="X737" s="4">
        <v>1</v>
      </c>
      <c r="Y737" s="4">
        <v>703.81799999999987</v>
      </c>
      <c r="Z737" s="4"/>
      <c r="AA737" s="4"/>
      <c r="AB737" s="4"/>
    </row>
    <row r="738" spans="1:206" x14ac:dyDescent="0.2">
      <c r="A738" s="4">
        <v>50</v>
      </c>
      <c r="B738" s="4">
        <v>0</v>
      </c>
      <c r="C738" s="4">
        <v>0</v>
      </c>
      <c r="D738" s="4">
        <v>1</v>
      </c>
      <c r="E738" s="4">
        <v>208</v>
      </c>
      <c r="F738" s="4">
        <f>Source!V715</f>
        <v>0</v>
      </c>
      <c r="G738" s="4" t="s">
        <v>140</v>
      </c>
      <c r="H738" s="4" t="s">
        <v>141</v>
      </c>
      <c r="I738" s="4"/>
      <c r="J738" s="4"/>
      <c r="K738" s="4">
        <v>208</v>
      </c>
      <c r="L738" s="4">
        <v>22</v>
      </c>
      <c r="M738" s="4">
        <v>3</v>
      </c>
      <c r="N738" s="4" t="s">
        <v>3</v>
      </c>
      <c r="O738" s="4">
        <v>-1</v>
      </c>
      <c r="P738" s="4"/>
      <c r="Q738" s="4"/>
      <c r="R738" s="4"/>
      <c r="S738" s="4"/>
      <c r="T738" s="4"/>
      <c r="U738" s="4"/>
      <c r="V738" s="4"/>
      <c r="W738" s="4">
        <v>0</v>
      </c>
      <c r="X738" s="4">
        <v>1</v>
      </c>
      <c r="Y738" s="4">
        <v>0</v>
      </c>
      <c r="Z738" s="4"/>
      <c r="AA738" s="4"/>
      <c r="AB738" s="4"/>
    </row>
    <row r="739" spans="1:206" x14ac:dyDescent="0.2">
      <c r="A739" s="4">
        <v>50</v>
      </c>
      <c r="B739" s="4">
        <v>0</v>
      </c>
      <c r="C739" s="4">
        <v>0</v>
      </c>
      <c r="D739" s="4">
        <v>1</v>
      </c>
      <c r="E739" s="4">
        <v>209</v>
      </c>
      <c r="F739" s="4">
        <f>ROUND(Source!W715,O739)</f>
        <v>0</v>
      </c>
      <c r="G739" s="4" t="s">
        <v>142</v>
      </c>
      <c r="H739" s="4" t="s">
        <v>143</v>
      </c>
      <c r="I739" s="4"/>
      <c r="J739" s="4"/>
      <c r="K739" s="4">
        <v>209</v>
      </c>
      <c r="L739" s="4">
        <v>23</v>
      </c>
      <c r="M739" s="4">
        <v>3</v>
      </c>
      <c r="N739" s="4" t="s">
        <v>3</v>
      </c>
      <c r="O739" s="4">
        <v>2</v>
      </c>
      <c r="P739" s="4"/>
      <c r="Q739" s="4"/>
      <c r="R739" s="4"/>
      <c r="S739" s="4"/>
      <c r="T739" s="4"/>
      <c r="U739" s="4"/>
      <c r="V739" s="4"/>
      <c r="W739" s="4">
        <v>0</v>
      </c>
      <c r="X739" s="4">
        <v>1</v>
      </c>
      <c r="Y739" s="4">
        <v>0</v>
      </c>
      <c r="Z739" s="4"/>
      <c r="AA739" s="4"/>
      <c r="AB739" s="4"/>
    </row>
    <row r="740" spans="1:206" x14ac:dyDescent="0.2">
      <c r="A740" s="4">
        <v>50</v>
      </c>
      <c r="B740" s="4">
        <v>0</v>
      </c>
      <c r="C740" s="4">
        <v>0</v>
      </c>
      <c r="D740" s="4">
        <v>1</v>
      </c>
      <c r="E740" s="4">
        <v>233</v>
      </c>
      <c r="F740" s="4">
        <f>ROUND(Source!BD715,O740)</f>
        <v>0</v>
      </c>
      <c r="G740" s="4" t="s">
        <v>144</v>
      </c>
      <c r="H740" s="4" t="s">
        <v>145</v>
      </c>
      <c r="I740" s="4"/>
      <c r="J740" s="4"/>
      <c r="K740" s="4">
        <v>233</v>
      </c>
      <c r="L740" s="4">
        <v>24</v>
      </c>
      <c r="M740" s="4">
        <v>3</v>
      </c>
      <c r="N740" s="4" t="s">
        <v>3</v>
      </c>
      <c r="O740" s="4">
        <v>2</v>
      </c>
      <c r="P740" s="4"/>
      <c r="Q740" s="4"/>
      <c r="R740" s="4"/>
      <c r="S740" s="4"/>
      <c r="T740" s="4"/>
      <c r="U740" s="4"/>
      <c r="V740" s="4"/>
      <c r="W740" s="4">
        <v>0</v>
      </c>
      <c r="X740" s="4">
        <v>1</v>
      </c>
      <c r="Y740" s="4">
        <v>0</v>
      </c>
      <c r="Z740" s="4"/>
      <c r="AA740" s="4"/>
      <c r="AB740" s="4"/>
    </row>
    <row r="741" spans="1:206" x14ac:dyDescent="0.2">
      <c r="A741" s="4">
        <v>50</v>
      </c>
      <c r="B741" s="4">
        <v>0</v>
      </c>
      <c r="C741" s="4">
        <v>0</v>
      </c>
      <c r="D741" s="4">
        <v>1</v>
      </c>
      <c r="E741" s="4">
        <v>210</v>
      </c>
      <c r="F741" s="4">
        <f>ROUND(Source!X715,O741)</f>
        <v>324175.83</v>
      </c>
      <c r="G741" s="4" t="s">
        <v>146</v>
      </c>
      <c r="H741" s="4" t="s">
        <v>147</v>
      </c>
      <c r="I741" s="4"/>
      <c r="J741" s="4"/>
      <c r="K741" s="4">
        <v>210</v>
      </c>
      <c r="L741" s="4">
        <v>25</v>
      </c>
      <c r="M741" s="4">
        <v>3</v>
      </c>
      <c r="N741" s="4" t="s">
        <v>3</v>
      </c>
      <c r="O741" s="4">
        <v>2</v>
      </c>
      <c r="P741" s="4"/>
      <c r="Q741" s="4"/>
      <c r="R741" s="4"/>
      <c r="S741" s="4"/>
      <c r="T741" s="4"/>
      <c r="U741" s="4"/>
      <c r="V741" s="4"/>
      <c r="W741" s="4">
        <v>301646.12</v>
      </c>
      <c r="X741" s="4">
        <v>1</v>
      </c>
      <c r="Y741" s="4">
        <v>301646.12</v>
      </c>
      <c r="Z741" s="4"/>
      <c r="AA741" s="4"/>
      <c r="AB741" s="4"/>
    </row>
    <row r="742" spans="1:206" x14ac:dyDescent="0.2">
      <c r="A742" s="4">
        <v>50</v>
      </c>
      <c r="B742" s="4">
        <v>0</v>
      </c>
      <c r="C742" s="4">
        <v>0</v>
      </c>
      <c r="D742" s="4">
        <v>1</v>
      </c>
      <c r="E742" s="4">
        <v>211</v>
      </c>
      <c r="F742" s="4">
        <f>ROUND(Source!Y715,O742)</f>
        <v>46310.83</v>
      </c>
      <c r="G742" s="4" t="s">
        <v>148</v>
      </c>
      <c r="H742" s="4" t="s">
        <v>149</v>
      </c>
      <c r="I742" s="4"/>
      <c r="J742" s="4"/>
      <c r="K742" s="4">
        <v>211</v>
      </c>
      <c r="L742" s="4">
        <v>26</v>
      </c>
      <c r="M742" s="4">
        <v>3</v>
      </c>
      <c r="N742" s="4" t="s">
        <v>3</v>
      </c>
      <c r="O742" s="4">
        <v>2</v>
      </c>
      <c r="P742" s="4"/>
      <c r="Q742" s="4"/>
      <c r="R742" s="4"/>
      <c r="S742" s="4"/>
      <c r="T742" s="4"/>
      <c r="U742" s="4"/>
      <c r="V742" s="4"/>
      <c r="W742" s="4">
        <v>43092.3</v>
      </c>
      <c r="X742" s="4">
        <v>1</v>
      </c>
      <c r="Y742" s="4">
        <v>43092.3</v>
      </c>
      <c r="Z742" s="4"/>
      <c r="AA742" s="4"/>
      <c r="AB742" s="4"/>
    </row>
    <row r="743" spans="1:206" x14ac:dyDescent="0.2">
      <c r="A743" s="4">
        <v>50</v>
      </c>
      <c r="B743" s="4">
        <v>0</v>
      </c>
      <c r="C743" s="4">
        <v>0</v>
      </c>
      <c r="D743" s="4">
        <v>1</v>
      </c>
      <c r="E743" s="4">
        <v>224</v>
      </c>
      <c r="F743" s="4">
        <f>ROUND(Source!AR715,O743)</f>
        <v>877578.04</v>
      </c>
      <c r="G743" s="4" t="s">
        <v>150</v>
      </c>
      <c r="H743" s="4" t="s">
        <v>151</v>
      </c>
      <c r="I743" s="4"/>
      <c r="J743" s="4"/>
      <c r="K743" s="4">
        <v>224</v>
      </c>
      <c r="L743" s="4">
        <v>27</v>
      </c>
      <c r="M743" s="4">
        <v>3</v>
      </c>
      <c r="N743" s="4" t="s">
        <v>3</v>
      </c>
      <c r="O743" s="4">
        <v>2</v>
      </c>
      <c r="P743" s="4"/>
      <c r="Q743" s="4"/>
      <c r="R743" s="4"/>
      <c r="S743" s="4"/>
      <c r="T743" s="4"/>
      <c r="U743" s="4"/>
      <c r="V743" s="4"/>
      <c r="W743" s="4">
        <v>815330.34</v>
      </c>
      <c r="X743" s="4">
        <v>1</v>
      </c>
      <c r="Y743" s="4">
        <v>815330.34</v>
      </c>
      <c r="Z743" s="4"/>
      <c r="AA743" s="4"/>
      <c r="AB743" s="4"/>
    </row>
    <row r="745" spans="1:206" x14ac:dyDescent="0.2">
      <c r="A745" s="2">
        <v>51</v>
      </c>
      <c r="B745" s="2">
        <f>B20</f>
        <v>1</v>
      </c>
      <c r="C745" s="2">
        <f>A20</f>
        <v>3</v>
      </c>
      <c r="D745" s="2">
        <f>ROW(A20)</f>
        <v>20</v>
      </c>
      <c r="E745" s="2"/>
      <c r="F745" s="2" t="str">
        <f>IF(F20&lt;&gt;"",F20,"")</f>
        <v/>
      </c>
      <c r="G745" s="2" t="str">
        <f>IF(G20&lt;&gt;"",G20,"")</f>
        <v>Новая локальная смета</v>
      </c>
      <c r="H745" s="2">
        <v>0</v>
      </c>
      <c r="I745" s="2"/>
      <c r="J745" s="2"/>
      <c r="K745" s="2"/>
      <c r="L745" s="2"/>
      <c r="M745" s="2"/>
      <c r="N745" s="2"/>
      <c r="O745" s="2">
        <f t="shared" ref="O745:T745" si="678">ROUND(O231+O473+O715+AB745,2)</f>
        <v>1684779.65</v>
      </c>
      <c r="P745" s="2">
        <f t="shared" si="678"/>
        <v>14131.21</v>
      </c>
      <c r="Q745" s="2">
        <f t="shared" si="678"/>
        <v>83920.84</v>
      </c>
      <c r="R745" s="2">
        <f t="shared" si="678"/>
        <v>52964.36</v>
      </c>
      <c r="S745" s="2">
        <f t="shared" si="678"/>
        <v>1586727.6</v>
      </c>
      <c r="T745" s="2">
        <f t="shared" si="678"/>
        <v>0</v>
      </c>
      <c r="U745" s="2">
        <f>U231+U473+U715+AH745</f>
        <v>2661.9053999999996</v>
      </c>
      <c r="V745" s="2">
        <f>V231+V473+V715+AI745</f>
        <v>0</v>
      </c>
      <c r="W745" s="2">
        <f>ROUND(W231+W473+W715+AJ745,2)</f>
        <v>0</v>
      </c>
      <c r="X745" s="2">
        <f>ROUND(X231+X473+X715+AK745,2)</f>
        <v>1110709.3799999999</v>
      </c>
      <c r="Y745" s="2">
        <f>ROUND(Y231+Y473+Y715+AL745,2)</f>
        <v>158672.76999999999</v>
      </c>
      <c r="Z745" s="2"/>
      <c r="AA745" s="2"/>
      <c r="AB745" s="2"/>
      <c r="AC745" s="2"/>
      <c r="AD745" s="2"/>
      <c r="AE745" s="2"/>
      <c r="AF745" s="2"/>
      <c r="AG745" s="2"/>
      <c r="AH745" s="2"/>
      <c r="AI745" s="2"/>
      <c r="AJ745" s="2"/>
      <c r="AK745" s="2"/>
      <c r="AL745" s="2"/>
      <c r="AM745" s="2"/>
      <c r="AN745" s="2"/>
      <c r="AO745" s="2">
        <f t="shared" ref="AO745:BD745" si="679">ROUND(AO231+AO473+AO715+BX745,2)</f>
        <v>0</v>
      </c>
      <c r="AP745" s="2">
        <f t="shared" si="679"/>
        <v>0</v>
      </c>
      <c r="AQ745" s="2">
        <f t="shared" si="679"/>
        <v>0</v>
      </c>
      <c r="AR745" s="2">
        <f t="shared" si="679"/>
        <v>3011363.32</v>
      </c>
      <c r="AS745" s="2">
        <f t="shared" si="679"/>
        <v>0</v>
      </c>
      <c r="AT745" s="2">
        <f t="shared" si="679"/>
        <v>0</v>
      </c>
      <c r="AU745" s="2">
        <f t="shared" si="679"/>
        <v>3011363.32</v>
      </c>
      <c r="AV745" s="2">
        <f t="shared" si="679"/>
        <v>14131.21</v>
      </c>
      <c r="AW745" s="2">
        <f t="shared" si="679"/>
        <v>14131.21</v>
      </c>
      <c r="AX745" s="2">
        <f t="shared" si="679"/>
        <v>0</v>
      </c>
      <c r="AY745" s="2">
        <f t="shared" si="679"/>
        <v>14131.21</v>
      </c>
      <c r="AZ745" s="2">
        <f t="shared" si="679"/>
        <v>0</v>
      </c>
      <c r="BA745" s="2">
        <f t="shared" si="679"/>
        <v>0</v>
      </c>
      <c r="BB745" s="2">
        <f t="shared" si="679"/>
        <v>0</v>
      </c>
      <c r="BC745" s="2">
        <f t="shared" si="679"/>
        <v>0</v>
      </c>
      <c r="BD745" s="2">
        <f t="shared" si="679"/>
        <v>0</v>
      </c>
      <c r="BE745" s="2"/>
      <c r="BF745" s="2"/>
      <c r="BG745" s="2"/>
      <c r="BH745" s="2"/>
      <c r="BI745" s="2"/>
      <c r="BJ745" s="2"/>
      <c r="BK745" s="2"/>
      <c r="BL745" s="2"/>
      <c r="BM745" s="2"/>
      <c r="BN745" s="2"/>
      <c r="BO745" s="2"/>
      <c r="BP745" s="2"/>
      <c r="BQ745" s="2"/>
      <c r="BR745" s="2"/>
      <c r="BS745" s="2"/>
      <c r="BT745" s="2"/>
      <c r="BU745" s="2"/>
      <c r="BV745" s="2"/>
      <c r="BW745" s="2"/>
      <c r="BX745" s="2"/>
      <c r="BY745" s="2"/>
      <c r="BZ745" s="2"/>
      <c r="CA745" s="2"/>
      <c r="CB745" s="2"/>
      <c r="CC745" s="2"/>
      <c r="CD745" s="2"/>
      <c r="CE745" s="2"/>
      <c r="CF745" s="2"/>
      <c r="CG745" s="2"/>
      <c r="CH745" s="2"/>
      <c r="CI745" s="2"/>
      <c r="CJ745" s="2"/>
      <c r="CK745" s="2"/>
      <c r="CL745" s="2"/>
      <c r="CM745" s="2"/>
      <c r="CN745" s="2"/>
      <c r="CO745" s="2"/>
      <c r="CP745" s="2"/>
      <c r="CQ745" s="2"/>
      <c r="CR745" s="2"/>
      <c r="CS745" s="2"/>
      <c r="CT745" s="2"/>
      <c r="CU745" s="2"/>
      <c r="CV745" s="2"/>
      <c r="CW745" s="2"/>
      <c r="CX745" s="2"/>
      <c r="CY745" s="2"/>
      <c r="CZ745" s="2"/>
      <c r="DA745" s="2"/>
      <c r="DB745" s="2"/>
      <c r="DC745" s="2"/>
      <c r="DD745" s="2"/>
      <c r="DE745" s="2"/>
      <c r="DF745" s="2"/>
      <c r="DG745" s="3"/>
      <c r="DH745" s="3"/>
      <c r="DI745" s="3"/>
      <c r="DJ745" s="3"/>
      <c r="DK745" s="3"/>
      <c r="DL745" s="3"/>
      <c r="DM745" s="3"/>
      <c r="DN745" s="3"/>
      <c r="DO745" s="3"/>
      <c r="DP745" s="3"/>
      <c r="DQ745" s="3"/>
      <c r="DR745" s="3"/>
      <c r="DS745" s="3"/>
      <c r="DT745" s="3"/>
      <c r="DU745" s="3"/>
      <c r="DV745" s="3"/>
      <c r="DW745" s="3"/>
      <c r="DX745" s="3"/>
      <c r="DY745" s="3"/>
      <c r="DZ745" s="3"/>
      <c r="EA745" s="3"/>
      <c r="EB745" s="3"/>
      <c r="EC745" s="3"/>
      <c r="ED745" s="3"/>
      <c r="EE745" s="3"/>
      <c r="EF745" s="3"/>
      <c r="EG745" s="3"/>
      <c r="EH745" s="3"/>
      <c r="EI745" s="3"/>
      <c r="EJ745" s="3"/>
      <c r="EK745" s="3"/>
      <c r="EL745" s="3"/>
      <c r="EM745" s="3"/>
      <c r="EN745" s="3"/>
      <c r="EO745" s="3"/>
      <c r="EP745" s="3"/>
      <c r="EQ745" s="3"/>
      <c r="ER745" s="3"/>
      <c r="ES745" s="3"/>
      <c r="ET745" s="3"/>
      <c r="EU745" s="3"/>
      <c r="EV745" s="3"/>
      <c r="EW745" s="3"/>
      <c r="EX745" s="3"/>
      <c r="EY745" s="3"/>
      <c r="EZ745" s="3"/>
      <c r="FA745" s="3"/>
      <c r="FB745" s="3"/>
      <c r="FC745" s="3"/>
      <c r="FD745" s="3"/>
      <c r="FE745" s="3"/>
      <c r="FF745" s="3"/>
      <c r="FG745" s="3"/>
      <c r="FH745" s="3"/>
      <c r="FI745" s="3"/>
      <c r="FJ745" s="3"/>
      <c r="FK745" s="3"/>
      <c r="FL745" s="3"/>
      <c r="FM745" s="3"/>
      <c r="FN745" s="3"/>
      <c r="FO745" s="3"/>
      <c r="FP745" s="3"/>
      <c r="FQ745" s="3"/>
      <c r="FR745" s="3"/>
      <c r="FS745" s="3"/>
      <c r="FT745" s="3"/>
      <c r="FU745" s="3"/>
      <c r="FV745" s="3"/>
      <c r="FW745" s="3"/>
      <c r="FX745" s="3"/>
      <c r="FY745" s="3"/>
      <c r="FZ745" s="3"/>
      <c r="GA745" s="3"/>
      <c r="GB745" s="3"/>
      <c r="GC745" s="3"/>
      <c r="GD745" s="3"/>
      <c r="GE745" s="3"/>
      <c r="GF745" s="3"/>
      <c r="GG745" s="3"/>
      <c r="GH745" s="3"/>
      <c r="GI745" s="3"/>
      <c r="GJ745" s="3"/>
      <c r="GK745" s="3"/>
      <c r="GL745" s="3"/>
      <c r="GM745" s="3"/>
      <c r="GN745" s="3"/>
      <c r="GO745" s="3"/>
      <c r="GP745" s="3"/>
      <c r="GQ745" s="3"/>
      <c r="GR745" s="3"/>
      <c r="GS745" s="3"/>
      <c r="GT745" s="3"/>
      <c r="GU745" s="3"/>
      <c r="GV745" s="3"/>
      <c r="GW745" s="3"/>
      <c r="GX745" s="3">
        <v>0</v>
      </c>
    </row>
    <row r="747" spans="1:206" x14ac:dyDescent="0.2">
      <c r="A747" s="4">
        <v>50</v>
      </c>
      <c r="B747" s="4">
        <v>0</v>
      </c>
      <c r="C747" s="4">
        <v>0</v>
      </c>
      <c r="D747" s="4">
        <v>1</v>
      </c>
      <c r="E747" s="4">
        <v>201</v>
      </c>
      <c r="F747" s="4">
        <f>ROUND(Source!O745,O747)</f>
        <v>1684779.65</v>
      </c>
      <c r="G747" s="4" t="s">
        <v>98</v>
      </c>
      <c r="H747" s="4" t="s">
        <v>99</v>
      </c>
      <c r="I747" s="4"/>
      <c r="J747" s="4"/>
      <c r="K747" s="4">
        <v>201</v>
      </c>
      <c r="L747" s="4">
        <v>1</v>
      </c>
      <c r="M747" s="4">
        <v>3</v>
      </c>
      <c r="N747" s="4" t="s">
        <v>3</v>
      </c>
      <c r="O747" s="4">
        <v>2</v>
      </c>
      <c r="P747" s="4"/>
      <c r="Q747" s="4"/>
      <c r="R747" s="4"/>
      <c r="S747" s="4"/>
      <c r="T747" s="4"/>
      <c r="U747" s="4"/>
      <c r="V747" s="4"/>
      <c r="W747" s="4">
        <v>1487057.89</v>
      </c>
      <c r="X747" s="4">
        <v>1</v>
      </c>
      <c r="Y747" s="4">
        <v>1487057.89</v>
      </c>
      <c r="Z747" s="4"/>
      <c r="AA747" s="4"/>
      <c r="AB747" s="4"/>
    </row>
    <row r="748" spans="1:206" x14ac:dyDescent="0.2">
      <c r="A748" s="4">
        <v>50</v>
      </c>
      <c r="B748" s="4">
        <v>0</v>
      </c>
      <c r="C748" s="4">
        <v>0</v>
      </c>
      <c r="D748" s="4">
        <v>1</v>
      </c>
      <c r="E748" s="4">
        <v>202</v>
      </c>
      <c r="F748" s="4">
        <f>ROUND(Source!P745,O748)</f>
        <v>14131.21</v>
      </c>
      <c r="G748" s="4" t="s">
        <v>100</v>
      </c>
      <c r="H748" s="4" t="s">
        <v>101</v>
      </c>
      <c r="I748" s="4"/>
      <c r="J748" s="4"/>
      <c r="K748" s="4">
        <v>202</v>
      </c>
      <c r="L748" s="4">
        <v>2</v>
      </c>
      <c r="M748" s="4">
        <v>3</v>
      </c>
      <c r="N748" s="4" t="s">
        <v>3</v>
      </c>
      <c r="O748" s="4">
        <v>2</v>
      </c>
      <c r="P748" s="4"/>
      <c r="Q748" s="4"/>
      <c r="R748" s="4"/>
      <c r="S748" s="4"/>
      <c r="T748" s="4"/>
      <c r="U748" s="4"/>
      <c r="V748" s="4"/>
      <c r="W748" s="4">
        <v>12328.56</v>
      </c>
      <c r="X748" s="4">
        <v>1</v>
      </c>
      <c r="Y748" s="4">
        <v>12328.56</v>
      </c>
      <c r="Z748" s="4"/>
      <c r="AA748" s="4"/>
      <c r="AB748" s="4"/>
    </row>
    <row r="749" spans="1:206" x14ac:dyDescent="0.2">
      <c r="A749" s="4">
        <v>50</v>
      </c>
      <c r="B749" s="4">
        <v>0</v>
      </c>
      <c r="C749" s="4">
        <v>0</v>
      </c>
      <c r="D749" s="4">
        <v>1</v>
      </c>
      <c r="E749" s="4">
        <v>222</v>
      </c>
      <c r="F749" s="4">
        <f>ROUND(Source!AO745,O749)</f>
        <v>0</v>
      </c>
      <c r="G749" s="4" t="s">
        <v>102</v>
      </c>
      <c r="H749" s="4" t="s">
        <v>103</v>
      </c>
      <c r="I749" s="4"/>
      <c r="J749" s="4"/>
      <c r="K749" s="4">
        <v>222</v>
      </c>
      <c r="L749" s="4">
        <v>3</v>
      </c>
      <c r="M749" s="4">
        <v>3</v>
      </c>
      <c r="N749" s="4" t="s">
        <v>3</v>
      </c>
      <c r="O749" s="4">
        <v>2</v>
      </c>
      <c r="P749" s="4"/>
      <c r="Q749" s="4"/>
      <c r="R749" s="4"/>
      <c r="S749" s="4"/>
      <c r="T749" s="4"/>
      <c r="U749" s="4"/>
      <c r="V749" s="4"/>
      <c r="W749" s="4">
        <v>0</v>
      </c>
      <c r="X749" s="4">
        <v>1</v>
      </c>
      <c r="Y749" s="4">
        <v>0</v>
      </c>
      <c r="Z749" s="4"/>
      <c r="AA749" s="4"/>
      <c r="AB749" s="4"/>
    </row>
    <row r="750" spans="1:206" x14ac:dyDescent="0.2">
      <c r="A750" s="4">
        <v>50</v>
      </c>
      <c r="B750" s="4">
        <v>0</v>
      </c>
      <c r="C750" s="4">
        <v>0</v>
      </c>
      <c r="D750" s="4">
        <v>1</v>
      </c>
      <c r="E750" s="4">
        <v>225</v>
      </c>
      <c r="F750" s="4">
        <f>ROUND(Source!AV745,O750)</f>
        <v>14131.21</v>
      </c>
      <c r="G750" s="4" t="s">
        <v>104</v>
      </c>
      <c r="H750" s="4" t="s">
        <v>105</v>
      </c>
      <c r="I750" s="4"/>
      <c r="J750" s="4"/>
      <c r="K750" s="4">
        <v>225</v>
      </c>
      <c r="L750" s="4">
        <v>4</v>
      </c>
      <c r="M750" s="4">
        <v>3</v>
      </c>
      <c r="N750" s="4" t="s">
        <v>3</v>
      </c>
      <c r="O750" s="4">
        <v>2</v>
      </c>
      <c r="P750" s="4"/>
      <c r="Q750" s="4"/>
      <c r="R750" s="4"/>
      <c r="S750" s="4"/>
      <c r="T750" s="4"/>
      <c r="U750" s="4"/>
      <c r="V750" s="4"/>
      <c r="W750" s="4">
        <v>12328.56</v>
      </c>
      <c r="X750" s="4">
        <v>1</v>
      </c>
      <c r="Y750" s="4">
        <v>12328.56</v>
      </c>
      <c r="Z750" s="4"/>
      <c r="AA750" s="4"/>
      <c r="AB750" s="4"/>
    </row>
    <row r="751" spans="1:206" x14ac:dyDescent="0.2">
      <c r="A751" s="4">
        <v>50</v>
      </c>
      <c r="B751" s="4">
        <v>0</v>
      </c>
      <c r="C751" s="4">
        <v>0</v>
      </c>
      <c r="D751" s="4">
        <v>1</v>
      </c>
      <c r="E751" s="4">
        <v>226</v>
      </c>
      <c r="F751" s="4">
        <f>ROUND(Source!AW745,O751)</f>
        <v>14131.21</v>
      </c>
      <c r="G751" s="4" t="s">
        <v>106</v>
      </c>
      <c r="H751" s="4" t="s">
        <v>107</v>
      </c>
      <c r="I751" s="4"/>
      <c r="J751" s="4"/>
      <c r="K751" s="4">
        <v>226</v>
      </c>
      <c r="L751" s="4">
        <v>5</v>
      </c>
      <c r="M751" s="4">
        <v>3</v>
      </c>
      <c r="N751" s="4" t="s">
        <v>3</v>
      </c>
      <c r="O751" s="4">
        <v>2</v>
      </c>
      <c r="P751" s="4"/>
      <c r="Q751" s="4"/>
      <c r="R751" s="4"/>
      <c r="S751" s="4"/>
      <c r="T751" s="4"/>
      <c r="U751" s="4"/>
      <c r="V751" s="4"/>
      <c r="W751" s="4">
        <v>12328.56</v>
      </c>
      <c r="X751" s="4">
        <v>1</v>
      </c>
      <c r="Y751" s="4">
        <v>12328.56</v>
      </c>
      <c r="Z751" s="4"/>
      <c r="AA751" s="4"/>
      <c r="AB751" s="4"/>
    </row>
    <row r="752" spans="1:206" x14ac:dyDescent="0.2">
      <c r="A752" s="4">
        <v>50</v>
      </c>
      <c r="B752" s="4">
        <v>0</v>
      </c>
      <c r="C752" s="4">
        <v>0</v>
      </c>
      <c r="D752" s="4">
        <v>1</v>
      </c>
      <c r="E752" s="4">
        <v>227</v>
      </c>
      <c r="F752" s="4">
        <f>ROUND(Source!AX745,O752)</f>
        <v>0</v>
      </c>
      <c r="G752" s="4" t="s">
        <v>108</v>
      </c>
      <c r="H752" s="4" t="s">
        <v>109</v>
      </c>
      <c r="I752" s="4"/>
      <c r="J752" s="4"/>
      <c r="K752" s="4">
        <v>227</v>
      </c>
      <c r="L752" s="4">
        <v>6</v>
      </c>
      <c r="M752" s="4">
        <v>3</v>
      </c>
      <c r="N752" s="4" t="s">
        <v>3</v>
      </c>
      <c r="O752" s="4">
        <v>2</v>
      </c>
      <c r="P752" s="4"/>
      <c r="Q752" s="4"/>
      <c r="R752" s="4"/>
      <c r="S752" s="4"/>
      <c r="T752" s="4"/>
      <c r="U752" s="4"/>
      <c r="V752" s="4"/>
      <c r="W752" s="4">
        <v>0</v>
      </c>
      <c r="X752" s="4">
        <v>1</v>
      </c>
      <c r="Y752" s="4">
        <v>0</v>
      </c>
      <c r="Z752" s="4"/>
      <c r="AA752" s="4"/>
      <c r="AB752" s="4"/>
    </row>
    <row r="753" spans="1:28" x14ac:dyDescent="0.2">
      <c r="A753" s="4">
        <v>50</v>
      </c>
      <c r="B753" s="4">
        <v>0</v>
      </c>
      <c r="C753" s="4">
        <v>0</v>
      </c>
      <c r="D753" s="4">
        <v>1</v>
      </c>
      <c r="E753" s="4">
        <v>228</v>
      </c>
      <c r="F753" s="4">
        <f>ROUND(Source!AY745,O753)</f>
        <v>14131.21</v>
      </c>
      <c r="G753" s="4" t="s">
        <v>110</v>
      </c>
      <c r="H753" s="4" t="s">
        <v>111</v>
      </c>
      <c r="I753" s="4"/>
      <c r="J753" s="4"/>
      <c r="K753" s="4">
        <v>228</v>
      </c>
      <c r="L753" s="4">
        <v>7</v>
      </c>
      <c r="M753" s="4">
        <v>3</v>
      </c>
      <c r="N753" s="4" t="s">
        <v>3</v>
      </c>
      <c r="O753" s="4">
        <v>2</v>
      </c>
      <c r="P753" s="4"/>
      <c r="Q753" s="4"/>
      <c r="R753" s="4"/>
      <c r="S753" s="4"/>
      <c r="T753" s="4"/>
      <c r="U753" s="4"/>
      <c r="V753" s="4"/>
      <c r="W753" s="4">
        <v>12328.56</v>
      </c>
      <c r="X753" s="4">
        <v>1</v>
      </c>
      <c r="Y753" s="4">
        <v>12328.56</v>
      </c>
      <c r="Z753" s="4"/>
      <c r="AA753" s="4"/>
      <c r="AB753" s="4"/>
    </row>
    <row r="754" spans="1:28" x14ac:dyDescent="0.2">
      <c r="A754" s="4">
        <v>50</v>
      </c>
      <c r="B754" s="4">
        <v>0</v>
      </c>
      <c r="C754" s="4">
        <v>0</v>
      </c>
      <c r="D754" s="4">
        <v>1</v>
      </c>
      <c r="E754" s="4">
        <v>216</v>
      </c>
      <c r="F754" s="4">
        <f>ROUND(Source!AP745,O754)</f>
        <v>0</v>
      </c>
      <c r="G754" s="4" t="s">
        <v>112</v>
      </c>
      <c r="H754" s="4" t="s">
        <v>113</v>
      </c>
      <c r="I754" s="4"/>
      <c r="J754" s="4"/>
      <c r="K754" s="4">
        <v>216</v>
      </c>
      <c r="L754" s="4">
        <v>8</v>
      </c>
      <c r="M754" s="4">
        <v>3</v>
      </c>
      <c r="N754" s="4" t="s">
        <v>3</v>
      </c>
      <c r="O754" s="4">
        <v>2</v>
      </c>
      <c r="P754" s="4"/>
      <c r="Q754" s="4"/>
      <c r="R754" s="4"/>
      <c r="S754" s="4"/>
      <c r="T754" s="4"/>
      <c r="U754" s="4"/>
      <c r="V754" s="4"/>
      <c r="W754" s="4">
        <v>0</v>
      </c>
      <c r="X754" s="4">
        <v>1</v>
      </c>
      <c r="Y754" s="4">
        <v>0</v>
      </c>
      <c r="Z754" s="4"/>
      <c r="AA754" s="4"/>
      <c r="AB754" s="4"/>
    </row>
    <row r="755" spans="1:28" x14ac:dyDescent="0.2">
      <c r="A755" s="4">
        <v>50</v>
      </c>
      <c r="B755" s="4">
        <v>0</v>
      </c>
      <c r="C755" s="4">
        <v>0</v>
      </c>
      <c r="D755" s="4">
        <v>1</v>
      </c>
      <c r="E755" s="4">
        <v>223</v>
      </c>
      <c r="F755" s="4">
        <f>ROUND(Source!AQ745,O755)</f>
        <v>0</v>
      </c>
      <c r="G755" s="4" t="s">
        <v>114</v>
      </c>
      <c r="H755" s="4" t="s">
        <v>115</v>
      </c>
      <c r="I755" s="4"/>
      <c r="J755" s="4"/>
      <c r="K755" s="4">
        <v>223</v>
      </c>
      <c r="L755" s="4">
        <v>9</v>
      </c>
      <c r="M755" s="4">
        <v>3</v>
      </c>
      <c r="N755" s="4" t="s">
        <v>3</v>
      </c>
      <c r="O755" s="4">
        <v>2</v>
      </c>
      <c r="P755" s="4"/>
      <c r="Q755" s="4"/>
      <c r="R755" s="4"/>
      <c r="S755" s="4"/>
      <c r="T755" s="4"/>
      <c r="U755" s="4"/>
      <c r="V755" s="4"/>
      <c r="W755" s="4">
        <v>0</v>
      </c>
      <c r="X755" s="4">
        <v>1</v>
      </c>
      <c r="Y755" s="4">
        <v>0</v>
      </c>
      <c r="Z755" s="4"/>
      <c r="AA755" s="4"/>
      <c r="AB755" s="4"/>
    </row>
    <row r="756" spans="1:28" x14ac:dyDescent="0.2">
      <c r="A756" s="4">
        <v>50</v>
      </c>
      <c r="B756" s="4">
        <v>0</v>
      </c>
      <c r="C756" s="4">
        <v>0</v>
      </c>
      <c r="D756" s="4">
        <v>1</v>
      </c>
      <c r="E756" s="4">
        <v>229</v>
      </c>
      <c r="F756" s="4">
        <f>ROUND(Source!AZ745,O756)</f>
        <v>0</v>
      </c>
      <c r="G756" s="4" t="s">
        <v>116</v>
      </c>
      <c r="H756" s="4" t="s">
        <v>117</v>
      </c>
      <c r="I756" s="4"/>
      <c r="J756" s="4"/>
      <c r="K756" s="4">
        <v>229</v>
      </c>
      <c r="L756" s="4">
        <v>10</v>
      </c>
      <c r="M756" s="4">
        <v>3</v>
      </c>
      <c r="N756" s="4" t="s">
        <v>3</v>
      </c>
      <c r="O756" s="4">
        <v>2</v>
      </c>
      <c r="P756" s="4"/>
      <c r="Q756" s="4"/>
      <c r="R756" s="4"/>
      <c r="S756" s="4"/>
      <c r="T756" s="4"/>
      <c r="U756" s="4"/>
      <c r="V756" s="4"/>
      <c r="W756" s="4">
        <v>0</v>
      </c>
      <c r="X756" s="4">
        <v>1</v>
      </c>
      <c r="Y756" s="4">
        <v>0</v>
      </c>
      <c r="Z756" s="4"/>
      <c r="AA756" s="4"/>
      <c r="AB756" s="4"/>
    </row>
    <row r="757" spans="1:28" x14ac:dyDescent="0.2">
      <c r="A757" s="4">
        <v>50</v>
      </c>
      <c r="B757" s="4">
        <v>0</v>
      </c>
      <c r="C757" s="4">
        <v>0</v>
      </c>
      <c r="D757" s="4">
        <v>1</v>
      </c>
      <c r="E757" s="4">
        <v>203</v>
      </c>
      <c r="F757" s="4">
        <f>ROUND(Source!Q745,O757)</f>
        <v>83920.84</v>
      </c>
      <c r="G757" s="4" t="s">
        <v>118</v>
      </c>
      <c r="H757" s="4" t="s">
        <v>119</v>
      </c>
      <c r="I757" s="4"/>
      <c r="J757" s="4"/>
      <c r="K757" s="4">
        <v>203</v>
      </c>
      <c r="L757" s="4">
        <v>11</v>
      </c>
      <c r="M757" s="4">
        <v>3</v>
      </c>
      <c r="N757" s="4" t="s">
        <v>3</v>
      </c>
      <c r="O757" s="4">
        <v>2</v>
      </c>
      <c r="P757" s="4"/>
      <c r="Q757" s="4"/>
      <c r="R757" s="4"/>
      <c r="S757" s="4"/>
      <c r="T757" s="4"/>
      <c r="U757" s="4"/>
      <c r="V757" s="4"/>
      <c r="W757" s="4">
        <v>61832.72</v>
      </c>
      <c r="X757" s="4">
        <v>1</v>
      </c>
      <c r="Y757" s="4">
        <v>61832.72</v>
      </c>
      <c r="Z757" s="4"/>
      <c r="AA757" s="4"/>
      <c r="AB757" s="4"/>
    </row>
    <row r="758" spans="1:28" x14ac:dyDescent="0.2">
      <c r="A758" s="4">
        <v>50</v>
      </c>
      <c r="B758" s="4">
        <v>0</v>
      </c>
      <c r="C758" s="4">
        <v>0</v>
      </c>
      <c r="D758" s="4">
        <v>1</v>
      </c>
      <c r="E758" s="4">
        <v>231</v>
      </c>
      <c r="F758" s="4">
        <f>ROUND(Source!BB745,O758)</f>
        <v>0</v>
      </c>
      <c r="G758" s="4" t="s">
        <v>120</v>
      </c>
      <c r="H758" s="4" t="s">
        <v>121</v>
      </c>
      <c r="I758" s="4"/>
      <c r="J758" s="4"/>
      <c r="K758" s="4">
        <v>231</v>
      </c>
      <c r="L758" s="4">
        <v>12</v>
      </c>
      <c r="M758" s="4">
        <v>3</v>
      </c>
      <c r="N758" s="4" t="s">
        <v>3</v>
      </c>
      <c r="O758" s="4">
        <v>2</v>
      </c>
      <c r="P758" s="4"/>
      <c r="Q758" s="4"/>
      <c r="R758" s="4"/>
      <c r="S758" s="4"/>
      <c r="T758" s="4"/>
      <c r="U758" s="4"/>
      <c r="V758" s="4"/>
      <c r="W758" s="4">
        <v>0</v>
      </c>
      <c r="X758" s="4">
        <v>1</v>
      </c>
      <c r="Y758" s="4">
        <v>0</v>
      </c>
      <c r="Z758" s="4"/>
      <c r="AA758" s="4"/>
      <c r="AB758" s="4"/>
    </row>
    <row r="759" spans="1:28" x14ac:dyDescent="0.2">
      <c r="A759" s="4">
        <v>50</v>
      </c>
      <c r="B759" s="4">
        <v>0</v>
      </c>
      <c r="C759" s="4">
        <v>0</v>
      </c>
      <c r="D759" s="4">
        <v>1</v>
      </c>
      <c r="E759" s="4">
        <v>204</v>
      </c>
      <c r="F759" s="4">
        <f>ROUND(Source!R745,O759)</f>
        <v>52964.36</v>
      </c>
      <c r="G759" s="4" t="s">
        <v>122</v>
      </c>
      <c r="H759" s="4" t="s">
        <v>123</v>
      </c>
      <c r="I759" s="4"/>
      <c r="J759" s="4"/>
      <c r="K759" s="4">
        <v>204</v>
      </c>
      <c r="L759" s="4">
        <v>13</v>
      </c>
      <c r="M759" s="4">
        <v>3</v>
      </c>
      <c r="N759" s="4" t="s">
        <v>3</v>
      </c>
      <c r="O759" s="4">
        <v>2</v>
      </c>
      <c r="P759" s="4"/>
      <c r="Q759" s="4"/>
      <c r="R759" s="4"/>
      <c r="S759" s="4"/>
      <c r="T759" s="4"/>
      <c r="U759" s="4"/>
      <c r="V759" s="4"/>
      <c r="W759" s="4">
        <v>39048</v>
      </c>
      <c r="X759" s="4">
        <v>1</v>
      </c>
      <c r="Y759" s="4">
        <v>39048</v>
      </c>
      <c r="Z759" s="4"/>
      <c r="AA759" s="4"/>
      <c r="AB759" s="4"/>
    </row>
    <row r="760" spans="1:28" x14ac:dyDescent="0.2">
      <c r="A760" s="4">
        <v>50</v>
      </c>
      <c r="B760" s="4">
        <v>0</v>
      </c>
      <c r="C760" s="4">
        <v>0</v>
      </c>
      <c r="D760" s="4">
        <v>1</v>
      </c>
      <c r="E760" s="4">
        <v>205</v>
      </c>
      <c r="F760" s="4">
        <f>ROUND(Source!S745,O760)</f>
        <v>1586727.6</v>
      </c>
      <c r="G760" s="4" t="s">
        <v>124</v>
      </c>
      <c r="H760" s="4" t="s">
        <v>125</v>
      </c>
      <c r="I760" s="4"/>
      <c r="J760" s="4"/>
      <c r="K760" s="4">
        <v>205</v>
      </c>
      <c r="L760" s="4">
        <v>14</v>
      </c>
      <c r="M760" s="4">
        <v>3</v>
      </c>
      <c r="N760" s="4" t="s">
        <v>3</v>
      </c>
      <c r="O760" s="4">
        <v>2</v>
      </c>
      <c r="P760" s="4"/>
      <c r="Q760" s="4"/>
      <c r="R760" s="4"/>
      <c r="S760" s="4"/>
      <c r="T760" s="4"/>
      <c r="U760" s="4"/>
      <c r="V760" s="4"/>
      <c r="W760" s="4">
        <v>1412896.61</v>
      </c>
      <c r="X760" s="4">
        <v>1</v>
      </c>
      <c r="Y760" s="4">
        <v>1412896.61</v>
      </c>
      <c r="Z760" s="4"/>
      <c r="AA760" s="4"/>
      <c r="AB760" s="4"/>
    </row>
    <row r="761" spans="1:28" x14ac:dyDescent="0.2">
      <c r="A761" s="4">
        <v>50</v>
      </c>
      <c r="B761" s="4">
        <v>0</v>
      </c>
      <c r="C761" s="4">
        <v>0</v>
      </c>
      <c r="D761" s="4">
        <v>1</v>
      </c>
      <c r="E761" s="4">
        <v>232</v>
      </c>
      <c r="F761" s="4">
        <f>ROUND(Source!BC745,O761)</f>
        <v>0</v>
      </c>
      <c r="G761" s="4" t="s">
        <v>126</v>
      </c>
      <c r="H761" s="4" t="s">
        <v>127</v>
      </c>
      <c r="I761" s="4"/>
      <c r="J761" s="4"/>
      <c r="K761" s="4">
        <v>232</v>
      </c>
      <c r="L761" s="4">
        <v>15</v>
      </c>
      <c r="M761" s="4">
        <v>3</v>
      </c>
      <c r="N761" s="4" t="s">
        <v>3</v>
      </c>
      <c r="O761" s="4">
        <v>2</v>
      </c>
      <c r="P761" s="4"/>
      <c r="Q761" s="4"/>
      <c r="R761" s="4"/>
      <c r="S761" s="4"/>
      <c r="T761" s="4"/>
      <c r="U761" s="4"/>
      <c r="V761" s="4"/>
      <c r="W761" s="4">
        <v>0</v>
      </c>
      <c r="X761" s="4">
        <v>1</v>
      </c>
      <c r="Y761" s="4">
        <v>0</v>
      </c>
      <c r="Z761" s="4"/>
      <c r="AA761" s="4"/>
      <c r="AB761" s="4"/>
    </row>
    <row r="762" spans="1:28" x14ac:dyDescent="0.2">
      <c r="A762" s="4">
        <v>50</v>
      </c>
      <c r="B762" s="4">
        <v>0</v>
      </c>
      <c r="C762" s="4">
        <v>0</v>
      </c>
      <c r="D762" s="4">
        <v>1</v>
      </c>
      <c r="E762" s="4">
        <v>214</v>
      </c>
      <c r="F762" s="4">
        <f>ROUND(Source!AS745,O762)</f>
        <v>0</v>
      </c>
      <c r="G762" s="4" t="s">
        <v>128</v>
      </c>
      <c r="H762" s="4" t="s">
        <v>129</v>
      </c>
      <c r="I762" s="4"/>
      <c r="J762" s="4"/>
      <c r="K762" s="4">
        <v>214</v>
      </c>
      <c r="L762" s="4">
        <v>16</v>
      </c>
      <c r="M762" s="4">
        <v>3</v>
      </c>
      <c r="N762" s="4" t="s">
        <v>3</v>
      </c>
      <c r="O762" s="4">
        <v>2</v>
      </c>
      <c r="P762" s="4"/>
      <c r="Q762" s="4"/>
      <c r="R762" s="4"/>
      <c r="S762" s="4"/>
      <c r="T762" s="4"/>
      <c r="U762" s="4"/>
      <c r="V762" s="4"/>
      <c r="W762" s="4">
        <v>0</v>
      </c>
      <c r="X762" s="4">
        <v>1</v>
      </c>
      <c r="Y762" s="4">
        <v>0</v>
      </c>
      <c r="Z762" s="4"/>
      <c r="AA762" s="4"/>
      <c r="AB762" s="4"/>
    </row>
    <row r="763" spans="1:28" x14ac:dyDescent="0.2">
      <c r="A763" s="4">
        <v>50</v>
      </c>
      <c r="B763" s="4">
        <v>0</v>
      </c>
      <c r="C763" s="4">
        <v>0</v>
      </c>
      <c r="D763" s="4">
        <v>1</v>
      </c>
      <c r="E763" s="4">
        <v>215</v>
      </c>
      <c r="F763" s="4">
        <f>ROUND(Source!AT745,O763)</f>
        <v>0</v>
      </c>
      <c r="G763" s="4" t="s">
        <v>130</v>
      </c>
      <c r="H763" s="4" t="s">
        <v>131</v>
      </c>
      <c r="I763" s="4"/>
      <c r="J763" s="4"/>
      <c r="K763" s="4">
        <v>215</v>
      </c>
      <c r="L763" s="4">
        <v>17</v>
      </c>
      <c r="M763" s="4">
        <v>3</v>
      </c>
      <c r="N763" s="4" t="s">
        <v>3</v>
      </c>
      <c r="O763" s="4">
        <v>2</v>
      </c>
      <c r="P763" s="4"/>
      <c r="Q763" s="4"/>
      <c r="R763" s="4"/>
      <c r="S763" s="4"/>
      <c r="T763" s="4"/>
      <c r="U763" s="4"/>
      <c r="V763" s="4"/>
      <c r="W763" s="4">
        <v>0</v>
      </c>
      <c r="X763" s="4">
        <v>1</v>
      </c>
      <c r="Y763" s="4">
        <v>0</v>
      </c>
      <c r="Z763" s="4"/>
      <c r="AA763" s="4"/>
      <c r="AB763" s="4"/>
    </row>
    <row r="764" spans="1:28" x14ac:dyDescent="0.2">
      <c r="A764" s="4">
        <v>50</v>
      </c>
      <c r="B764" s="4">
        <v>0</v>
      </c>
      <c r="C764" s="4">
        <v>0</v>
      </c>
      <c r="D764" s="4">
        <v>1</v>
      </c>
      <c r="E764" s="4">
        <v>217</v>
      </c>
      <c r="F764" s="4">
        <f>ROUND(Source!AU745,O764)</f>
        <v>3011363.32</v>
      </c>
      <c r="G764" s="4" t="s">
        <v>132</v>
      </c>
      <c r="H764" s="4" t="s">
        <v>133</v>
      </c>
      <c r="I764" s="4"/>
      <c r="J764" s="4"/>
      <c r="K764" s="4">
        <v>217</v>
      </c>
      <c r="L764" s="4">
        <v>18</v>
      </c>
      <c r="M764" s="4">
        <v>3</v>
      </c>
      <c r="N764" s="4" t="s">
        <v>3</v>
      </c>
      <c r="O764" s="4">
        <v>2</v>
      </c>
      <c r="P764" s="4"/>
      <c r="Q764" s="4"/>
      <c r="R764" s="4"/>
      <c r="S764" s="4"/>
      <c r="T764" s="4"/>
      <c r="U764" s="4"/>
      <c r="V764" s="4"/>
      <c r="W764" s="4">
        <v>2659547.1</v>
      </c>
      <c r="X764" s="4">
        <v>1</v>
      </c>
      <c r="Y764" s="4">
        <v>2659547.1</v>
      </c>
      <c r="Z764" s="4"/>
      <c r="AA764" s="4"/>
      <c r="AB764" s="4"/>
    </row>
    <row r="765" spans="1:28" x14ac:dyDescent="0.2">
      <c r="A765" s="4">
        <v>50</v>
      </c>
      <c r="B765" s="4">
        <v>0</v>
      </c>
      <c r="C765" s="4">
        <v>0</v>
      </c>
      <c r="D765" s="4">
        <v>1</v>
      </c>
      <c r="E765" s="4">
        <v>230</v>
      </c>
      <c r="F765" s="4">
        <f>ROUND(Source!BA745,O765)</f>
        <v>0</v>
      </c>
      <c r="G765" s="4" t="s">
        <v>134</v>
      </c>
      <c r="H765" s="4" t="s">
        <v>135</v>
      </c>
      <c r="I765" s="4"/>
      <c r="J765" s="4"/>
      <c r="K765" s="4">
        <v>230</v>
      </c>
      <c r="L765" s="4">
        <v>19</v>
      </c>
      <c r="M765" s="4">
        <v>3</v>
      </c>
      <c r="N765" s="4" t="s">
        <v>3</v>
      </c>
      <c r="O765" s="4">
        <v>2</v>
      </c>
      <c r="P765" s="4"/>
      <c r="Q765" s="4"/>
      <c r="R765" s="4"/>
      <c r="S765" s="4"/>
      <c r="T765" s="4"/>
      <c r="U765" s="4"/>
      <c r="V765" s="4"/>
      <c r="W765" s="4">
        <v>0</v>
      </c>
      <c r="X765" s="4">
        <v>1</v>
      </c>
      <c r="Y765" s="4">
        <v>0</v>
      </c>
      <c r="Z765" s="4"/>
      <c r="AA765" s="4"/>
      <c r="AB765" s="4"/>
    </row>
    <row r="766" spans="1:28" x14ac:dyDescent="0.2">
      <c r="A766" s="4">
        <v>50</v>
      </c>
      <c r="B766" s="4">
        <v>0</v>
      </c>
      <c r="C766" s="4">
        <v>0</v>
      </c>
      <c r="D766" s="4">
        <v>1</v>
      </c>
      <c r="E766" s="4">
        <v>206</v>
      </c>
      <c r="F766" s="4">
        <f>ROUND(Source!T745,O766)</f>
        <v>0</v>
      </c>
      <c r="G766" s="4" t="s">
        <v>136</v>
      </c>
      <c r="H766" s="4" t="s">
        <v>137</v>
      </c>
      <c r="I766" s="4"/>
      <c r="J766" s="4"/>
      <c r="K766" s="4">
        <v>206</v>
      </c>
      <c r="L766" s="4">
        <v>20</v>
      </c>
      <c r="M766" s="4">
        <v>3</v>
      </c>
      <c r="N766" s="4" t="s">
        <v>3</v>
      </c>
      <c r="O766" s="4">
        <v>2</v>
      </c>
      <c r="P766" s="4"/>
      <c r="Q766" s="4"/>
      <c r="R766" s="4"/>
      <c r="S766" s="4"/>
      <c r="T766" s="4"/>
      <c r="U766" s="4"/>
      <c r="V766" s="4"/>
      <c r="W766" s="4">
        <v>0</v>
      </c>
      <c r="X766" s="4">
        <v>1</v>
      </c>
      <c r="Y766" s="4">
        <v>0</v>
      </c>
      <c r="Z766" s="4"/>
      <c r="AA766" s="4"/>
      <c r="AB766" s="4"/>
    </row>
    <row r="767" spans="1:28" x14ac:dyDescent="0.2">
      <c r="A767" s="4">
        <v>50</v>
      </c>
      <c r="B767" s="4">
        <v>0</v>
      </c>
      <c r="C767" s="4">
        <v>0</v>
      </c>
      <c r="D767" s="4">
        <v>1</v>
      </c>
      <c r="E767" s="4">
        <v>207</v>
      </c>
      <c r="F767" s="4">
        <f>Source!U745</f>
        <v>2661.9053999999996</v>
      </c>
      <c r="G767" s="4" t="s">
        <v>138</v>
      </c>
      <c r="H767" s="4" t="s">
        <v>139</v>
      </c>
      <c r="I767" s="4"/>
      <c r="J767" s="4"/>
      <c r="K767" s="4">
        <v>207</v>
      </c>
      <c r="L767" s="4">
        <v>21</v>
      </c>
      <c r="M767" s="4">
        <v>3</v>
      </c>
      <c r="N767" s="4" t="s">
        <v>3</v>
      </c>
      <c r="O767" s="4">
        <v>-1</v>
      </c>
      <c r="P767" s="4"/>
      <c r="Q767" s="4"/>
      <c r="R767" s="4"/>
      <c r="S767" s="4"/>
      <c r="T767" s="4"/>
      <c r="U767" s="4"/>
      <c r="V767" s="4"/>
      <c r="W767" s="4">
        <v>2331.9975000000009</v>
      </c>
      <c r="X767" s="4">
        <v>1</v>
      </c>
      <c r="Y767" s="4">
        <v>2331.9975000000009</v>
      </c>
      <c r="Z767" s="4"/>
      <c r="AA767" s="4"/>
      <c r="AB767" s="4"/>
    </row>
    <row r="768" spans="1:28" x14ac:dyDescent="0.2">
      <c r="A768" s="4">
        <v>50</v>
      </c>
      <c r="B768" s="4">
        <v>0</v>
      </c>
      <c r="C768" s="4">
        <v>0</v>
      </c>
      <c r="D768" s="4">
        <v>1</v>
      </c>
      <c r="E768" s="4">
        <v>208</v>
      </c>
      <c r="F768" s="4">
        <f>Source!V745</f>
        <v>0</v>
      </c>
      <c r="G768" s="4" t="s">
        <v>140</v>
      </c>
      <c r="H768" s="4" t="s">
        <v>141</v>
      </c>
      <c r="I768" s="4"/>
      <c r="J768" s="4"/>
      <c r="K768" s="4">
        <v>208</v>
      </c>
      <c r="L768" s="4">
        <v>22</v>
      </c>
      <c r="M768" s="4">
        <v>3</v>
      </c>
      <c r="N768" s="4" t="s">
        <v>3</v>
      </c>
      <c r="O768" s="4">
        <v>-1</v>
      </c>
      <c r="P768" s="4"/>
      <c r="Q768" s="4"/>
      <c r="R768" s="4"/>
      <c r="S768" s="4"/>
      <c r="T768" s="4"/>
      <c r="U768" s="4"/>
      <c r="V768" s="4"/>
      <c r="W768" s="4">
        <v>0</v>
      </c>
      <c r="X768" s="4">
        <v>1</v>
      </c>
      <c r="Y768" s="4">
        <v>0</v>
      </c>
      <c r="Z768" s="4"/>
      <c r="AA768" s="4"/>
      <c r="AB768" s="4"/>
    </row>
    <row r="769" spans="1:206" x14ac:dyDescent="0.2">
      <c r="A769" s="4">
        <v>50</v>
      </c>
      <c r="B769" s="4">
        <v>0</v>
      </c>
      <c r="C769" s="4">
        <v>0</v>
      </c>
      <c r="D769" s="4">
        <v>1</v>
      </c>
      <c r="E769" s="4">
        <v>209</v>
      </c>
      <c r="F769" s="4">
        <f>ROUND(Source!W745,O769)</f>
        <v>0</v>
      </c>
      <c r="G769" s="4" t="s">
        <v>142</v>
      </c>
      <c r="H769" s="4" t="s">
        <v>143</v>
      </c>
      <c r="I769" s="4"/>
      <c r="J769" s="4"/>
      <c r="K769" s="4">
        <v>209</v>
      </c>
      <c r="L769" s="4">
        <v>23</v>
      </c>
      <c r="M769" s="4">
        <v>3</v>
      </c>
      <c r="N769" s="4" t="s">
        <v>3</v>
      </c>
      <c r="O769" s="4">
        <v>2</v>
      </c>
      <c r="P769" s="4"/>
      <c r="Q769" s="4"/>
      <c r="R769" s="4"/>
      <c r="S769" s="4"/>
      <c r="T769" s="4"/>
      <c r="U769" s="4"/>
      <c r="V769" s="4"/>
      <c r="W769" s="4">
        <v>0</v>
      </c>
      <c r="X769" s="4">
        <v>1</v>
      </c>
      <c r="Y769" s="4">
        <v>0</v>
      </c>
      <c r="Z769" s="4"/>
      <c r="AA769" s="4"/>
      <c r="AB769" s="4"/>
    </row>
    <row r="770" spans="1:206" x14ac:dyDescent="0.2">
      <c r="A770" s="4">
        <v>50</v>
      </c>
      <c r="B770" s="4">
        <v>0</v>
      </c>
      <c r="C770" s="4">
        <v>0</v>
      </c>
      <c r="D770" s="4">
        <v>1</v>
      </c>
      <c r="E770" s="4">
        <v>233</v>
      </c>
      <c r="F770" s="4">
        <f>ROUND(Source!BD745,O770)</f>
        <v>0</v>
      </c>
      <c r="G770" s="4" t="s">
        <v>144</v>
      </c>
      <c r="H770" s="4" t="s">
        <v>145</v>
      </c>
      <c r="I770" s="4"/>
      <c r="J770" s="4"/>
      <c r="K770" s="4">
        <v>233</v>
      </c>
      <c r="L770" s="4">
        <v>24</v>
      </c>
      <c r="M770" s="4">
        <v>3</v>
      </c>
      <c r="N770" s="4" t="s">
        <v>3</v>
      </c>
      <c r="O770" s="4">
        <v>2</v>
      </c>
      <c r="P770" s="4"/>
      <c r="Q770" s="4"/>
      <c r="R770" s="4"/>
      <c r="S770" s="4"/>
      <c r="T770" s="4"/>
      <c r="U770" s="4"/>
      <c r="V770" s="4"/>
      <c r="W770" s="4">
        <v>0</v>
      </c>
      <c r="X770" s="4">
        <v>1</v>
      </c>
      <c r="Y770" s="4">
        <v>0</v>
      </c>
      <c r="Z770" s="4"/>
      <c r="AA770" s="4"/>
      <c r="AB770" s="4"/>
    </row>
    <row r="771" spans="1:206" x14ac:dyDescent="0.2">
      <c r="A771" s="4">
        <v>50</v>
      </c>
      <c r="B771" s="4">
        <v>0</v>
      </c>
      <c r="C771" s="4">
        <v>0</v>
      </c>
      <c r="D771" s="4">
        <v>1</v>
      </c>
      <c r="E771" s="4">
        <v>210</v>
      </c>
      <c r="F771" s="4">
        <f>ROUND(Source!X745,O771)</f>
        <v>1110709.3799999999</v>
      </c>
      <c r="G771" s="4" t="s">
        <v>146</v>
      </c>
      <c r="H771" s="4" t="s">
        <v>147</v>
      </c>
      <c r="I771" s="4"/>
      <c r="J771" s="4"/>
      <c r="K771" s="4">
        <v>210</v>
      </c>
      <c r="L771" s="4">
        <v>25</v>
      </c>
      <c r="M771" s="4">
        <v>3</v>
      </c>
      <c r="N771" s="4" t="s">
        <v>3</v>
      </c>
      <c r="O771" s="4">
        <v>2</v>
      </c>
      <c r="P771" s="4"/>
      <c r="Q771" s="4"/>
      <c r="R771" s="4"/>
      <c r="S771" s="4"/>
      <c r="T771" s="4"/>
      <c r="U771" s="4"/>
      <c r="V771" s="4"/>
      <c r="W771" s="4">
        <v>989027.69</v>
      </c>
      <c r="X771" s="4">
        <v>1</v>
      </c>
      <c r="Y771" s="4">
        <v>989027.69</v>
      </c>
      <c r="Z771" s="4"/>
      <c r="AA771" s="4"/>
      <c r="AB771" s="4"/>
    </row>
    <row r="772" spans="1:206" x14ac:dyDescent="0.2">
      <c r="A772" s="4">
        <v>50</v>
      </c>
      <c r="B772" s="4">
        <v>0</v>
      </c>
      <c r="C772" s="4">
        <v>0</v>
      </c>
      <c r="D772" s="4">
        <v>1</v>
      </c>
      <c r="E772" s="4">
        <v>211</v>
      </c>
      <c r="F772" s="4">
        <f>ROUND(Source!Y745,O772)</f>
        <v>158672.76999999999</v>
      </c>
      <c r="G772" s="4" t="s">
        <v>148</v>
      </c>
      <c r="H772" s="4" t="s">
        <v>149</v>
      </c>
      <c r="I772" s="4"/>
      <c r="J772" s="4"/>
      <c r="K772" s="4">
        <v>211</v>
      </c>
      <c r="L772" s="4">
        <v>26</v>
      </c>
      <c r="M772" s="4">
        <v>3</v>
      </c>
      <c r="N772" s="4" t="s">
        <v>3</v>
      </c>
      <c r="O772" s="4">
        <v>2</v>
      </c>
      <c r="P772" s="4"/>
      <c r="Q772" s="4"/>
      <c r="R772" s="4"/>
      <c r="S772" s="4"/>
      <c r="T772" s="4"/>
      <c r="U772" s="4"/>
      <c r="V772" s="4"/>
      <c r="W772" s="4">
        <v>141289.67000000001</v>
      </c>
      <c r="X772" s="4">
        <v>1</v>
      </c>
      <c r="Y772" s="4">
        <v>141289.67000000001</v>
      </c>
      <c r="Z772" s="4"/>
      <c r="AA772" s="4"/>
      <c r="AB772" s="4"/>
    </row>
    <row r="773" spans="1:206" x14ac:dyDescent="0.2">
      <c r="A773" s="4">
        <v>50</v>
      </c>
      <c r="B773" s="4">
        <v>0</v>
      </c>
      <c r="C773" s="4">
        <v>0</v>
      </c>
      <c r="D773" s="4">
        <v>1</v>
      </c>
      <c r="E773" s="4">
        <v>224</v>
      </c>
      <c r="F773" s="4">
        <f>ROUND(Source!AR745,O773)</f>
        <v>3011363.32</v>
      </c>
      <c r="G773" s="4" t="s">
        <v>150</v>
      </c>
      <c r="H773" s="4" t="s">
        <v>151</v>
      </c>
      <c r="I773" s="4"/>
      <c r="J773" s="4"/>
      <c r="K773" s="4">
        <v>224</v>
      </c>
      <c r="L773" s="4">
        <v>27</v>
      </c>
      <c r="M773" s="4">
        <v>3</v>
      </c>
      <c r="N773" s="4" t="s">
        <v>3</v>
      </c>
      <c r="O773" s="4">
        <v>2</v>
      </c>
      <c r="P773" s="4"/>
      <c r="Q773" s="4"/>
      <c r="R773" s="4"/>
      <c r="S773" s="4"/>
      <c r="T773" s="4"/>
      <c r="U773" s="4"/>
      <c r="V773" s="4"/>
      <c r="W773" s="4">
        <v>2659547.1</v>
      </c>
      <c r="X773" s="4">
        <v>1</v>
      </c>
      <c r="Y773" s="4">
        <v>2659547.1</v>
      </c>
      <c r="Z773" s="4"/>
      <c r="AA773" s="4"/>
      <c r="AB773" s="4"/>
    </row>
    <row r="775" spans="1:206" x14ac:dyDescent="0.2">
      <c r="A775" s="2">
        <v>51</v>
      </c>
      <c r="B775" s="2">
        <f>B12</f>
        <v>814</v>
      </c>
      <c r="C775" s="2">
        <f>A12</f>
        <v>1</v>
      </c>
      <c r="D775" s="2">
        <f>ROW(A12)</f>
        <v>12</v>
      </c>
      <c r="E775" s="2"/>
      <c r="F775" s="2" t="str">
        <f>IF(F12&lt;&gt;"",F12,"")</f>
        <v/>
      </c>
      <c r="G775" s="2" t="str">
        <f>IF(G12&lt;&gt;"",G12,"")</f>
        <v>Фестивальная площадка_на 4 мес. (10%) испр.</v>
      </c>
      <c r="H775" s="2">
        <v>0</v>
      </c>
      <c r="I775" s="2"/>
      <c r="J775" s="2"/>
      <c r="K775" s="2"/>
      <c r="L775" s="2"/>
      <c r="M775" s="2"/>
      <c r="N775" s="2"/>
      <c r="O775" s="2">
        <f t="shared" ref="O775:T775" si="680">ROUND(O745,2)</f>
        <v>1684779.65</v>
      </c>
      <c r="P775" s="2">
        <f t="shared" si="680"/>
        <v>14131.21</v>
      </c>
      <c r="Q775" s="2">
        <f t="shared" si="680"/>
        <v>83920.84</v>
      </c>
      <c r="R775" s="2">
        <f t="shared" si="680"/>
        <v>52964.36</v>
      </c>
      <c r="S775" s="2">
        <f t="shared" si="680"/>
        <v>1586727.6</v>
      </c>
      <c r="T775" s="2">
        <f t="shared" si="680"/>
        <v>0</v>
      </c>
      <c r="U775" s="2">
        <f>U745</f>
        <v>2661.9053999999996</v>
      </c>
      <c r="V775" s="2">
        <f>V745</f>
        <v>0</v>
      </c>
      <c r="W775" s="2">
        <f>ROUND(W745,2)</f>
        <v>0</v>
      </c>
      <c r="X775" s="2">
        <f>ROUND(X745,2)</f>
        <v>1110709.3799999999</v>
      </c>
      <c r="Y775" s="2">
        <f>ROUND(Y745,2)</f>
        <v>158672.76999999999</v>
      </c>
      <c r="Z775" s="2"/>
      <c r="AA775" s="2"/>
      <c r="AB775" s="2"/>
      <c r="AC775" s="2"/>
      <c r="AD775" s="2"/>
      <c r="AE775" s="2"/>
      <c r="AF775" s="2"/>
      <c r="AG775" s="2"/>
      <c r="AH775" s="2"/>
      <c r="AI775" s="2"/>
      <c r="AJ775" s="2"/>
      <c r="AK775" s="2"/>
      <c r="AL775" s="2"/>
      <c r="AM775" s="2"/>
      <c r="AN775" s="2"/>
      <c r="AO775" s="2">
        <f t="shared" ref="AO775:BD775" si="681">ROUND(AO745,2)</f>
        <v>0</v>
      </c>
      <c r="AP775" s="2">
        <f t="shared" si="681"/>
        <v>0</v>
      </c>
      <c r="AQ775" s="2">
        <f t="shared" si="681"/>
        <v>0</v>
      </c>
      <c r="AR775" s="2">
        <f t="shared" si="681"/>
        <v>3011363.32</v>
      </c>
      <c r="AS775" s="2">
        <f t="shared" si="681"/>
        <v>0</v>
      </c>
      <c r="AT775" s="2">
        <f t="shared" si="681"/>
        <v>0</v>
      </c>
      <c r="AU775" s="2">
        <f t="shared" si="681"/>
        <v>3011363.32</v>
      </c>
      <c r="AV775" s="2">
        <f t="shared" si="681"/>
        <v>14131.21</v>
      </c>
      <c r="AW775" s="2">
        <f t="shared" si="681"/>
        <v>14131.21</v>
      </c>
      <c r="AX775" s="2">
        <f t="shared" si="681"/>
        <v>0</v>
      </c>
      <c r="AY775" s="2">
        <f t="shared" si="681"/>
        <v>14131.21</v>
      </c>
      <c r="AZ775" s="2">
        <f t="shared" si="681"/>
        <v>0</v>
      </c>
      <c r="BA775" s="2">
        <f t="shared" si="681"/>
        <v>0</v>
      </c>
      <c r="BB775" s="2">
        <f t="shared" si="681"/>
        <v>0</v>
      </c>
      <c r="BC775" s="2">
        <f t="shared" si="681"/>
        <v>0</v>
      </c>
      <c r="BD775" s="2">
        <f t="shared" si="681"/>
        <v>0</v>
      </c>
      <c r="BE775" s="2"/>
      <c r="BF775" s="2"/>
      <c r="BG775" s="2"/>
      <c r="BH775" s="2"/>
      <c r="BI775" s="2"/>
      <c r="BJ775" s="2"/>
      <c r="BK775" s="2"/>
      <c r="BL775" s="2"/>
      <c r="BM775" s="2"/>
      <c r="BN775" s="2"/>
      <c r="BO775" s="2"/>
      <c r="BP775" s="2"/>
      <c r="BQ775" s="2"/>
      <c r="BR775" s="2"/>
      <c r="BS775" s="2"/>
      <c r="BT775" s="2"/>
      <c r="BU775" s="2"/>
      <c r="BV775" s="2"/>
      <c r="BW775" s="2"/>
      <c r="BX775" s="2"/>
      <c r="BY775" s="2"/>
      <c r="BZ775" s="2"/>
      <c r="CA775" s="2"/>
      <c r="CB775" s="2"/>
      <c r="CC775" s="2"/>
      <c r="CD775" s="2"/>
      <c r="CE775" s="2"/>
      <c r="CF775" s="2"/>
      <c r="CG775" s="2"/>
      <c r="CH775" s="2"/>
      <c r="CI775" s="2"/>
      <c r="CJ775" s="2"/>
      <c r="CK775" s="2"/>
      <c r="CL775" s="2"/>
      <c r="CM775" s="2"/>
      <c r="CN775" s="2"/>
      <c r="CO775" s="2"/>
      <c r="CP775" s="2"/>
      <c r="CQ775" s="2"/>
      <c r="CR775" s="2"/>
      <c r="CS775" s="2"/>
      <c r="CT775" s="2"/>
      <c r="CU775" s="2"/>
      <c r="CV775" s="2"/>
      <c r="CW775" s="2"/>
      <c r="CX775" s="2"/>
      <c r="CY775" s="2"/>
      <c r="CZ775" s="2"/>
      <c r="DA775" s="2"/>
      <c r="DB775" s="2"/>
      <c r="DC775" s="2"/>
      <c r="DD775" s="2"/>
      <c r="DE775" s="2"/>
      <c r="DF775" s="2"/>
      <c r="DG775" s="3"/>
      <c r="DH775" s="3"/>
      <c r="DI775" s="3"/>
      <c r="DJ775" s="3"/>
      <c r="DK775" s="3"/>
      <c r="DL775" s="3"/>
      <c r="DM775" s="3"/>
      <c r="DN775" s="3"/>
      <c r="DO775" s="3"/>
      <c r="DP775" s="3"/>
      <c r="DQ775" s="3"/>
      <c r="DR775" s="3"/>
      <c r="DS775" s="3"/>
      <c r="DT775" s="3"/>
      <c r="DU775" s="3"/>
      <c r="DV775" s="3"/>
      <c r="DW775" s="3"/>
      <c r="DX775" s="3"/>
      <c r="DY775" s="3"/>
      <c r="DZ775" s="3"/>
      <c r="EA775" s="3"/>
      <c r="EB775" s="3"/>
      <c r="EC775" s="3"/>
      <c r="ED775" s="3"/>
      <c r="EE775" s="3"/>
      <c r="EF775" s="3"/>
      <c r="EG775" s="3"/>
      <c r="EH775" s="3"/>
      <c r="EI775" s="3"/>
      <c r="EJ775" s="3"/>
      <c r="EK775" s="3"/>
      <c r="EL775" s="3"/>
      <c r="EM775" s="3"/>
      <c r="EN775" s="3"/>
      <c r="EO775" s="3"/>
      <c r="EP775" s="3"/>
      <c r="EQ775" s="3"/>
      <c r="ER775" s="3"/>
      <c r="ES775" s="3"/>
      <c r="ET775" s="3"/>
      <c r="EU775" s="3"/>
      <c r="EV775" s="3"/>
      <c r="EW775" s="3"/>
      <c r="EX775" s="3"/>
      <c r="EY775" s="3"/>
      <c r="EZ775" s="3"/>
      <c r="FA775" s="3"/>
      <c r="FB775" s="3"/>
      <c r="FC775" s="3"/>
      <c r="FD775" s="3"/>
      <c r="FE775" s="3"/>
      <c r="FF775" s="3"/>
      <c r="FG775" s="3"/>
      <c r="FH775" s="3"/>
      <c r="FI775" s="3"/>
      <c r="FJ775" s="3"/>
      <c r="FK775" s="3"/>
      <c r="FL775" s="3"/>
      <c r="FM775" s="3"/>
      <c r="FN775" s="3"/>
      <c r="FO775" s="3"/>
      <c r="FP775" s="3"/>
      <c r="FQ775" s="3"/>
      <c r="FR775" s="3"/>
      <c r="FS775" s="3"/>
      <c r="FT775" s="3"/>
      <c r="FU775" s="3"/>
      <c r="FV775" s="3"/>
      <c r="FW775" s="3"/>
      <c r="FX775" s="3"/>
      <c r="FY775" s="3"/>
      <c r="FZ775" s="3"/>
      <c r="GA775" s="3"/>
      <c r="GB775" s="3"/>
      <c r="GC775" s="3"/>
      <c r="GD775" s="3"/>
      <c r="GE775" s="3"/>
      <c r="GF775" s="3"/>
      <c r="GG775" s="3"/>
      <c r="GH775" s="3"/>
      <c r="GI775" s="3"/>
      <c r="GJ775" s="3"/>
      <c r="GK775" s="3"/>
      <c r="GL775" s="3"/>
      <c r="GM775" s="3"/>
      <c r="GN775" s="3"/>
      <c r="GO775" s="3"/>
      <c r="GP775" s="3"/>
      <c r="GQ775" s="3"/>
      <c r="GR775" s="3"/>
      <c r="GS775" s="3"/>
      <c r="GT775" s="3"/>
      <c r="GU775" s="3"/>
      <c r="GV775" s="3"/>
      <c r="GW775" s="3"/>
      <c r="GX775" s="3">
        <v>0</v>
      </c>
    </row>
    <row r="777" spans="1:206" x14ac:dyDescent="0.2">
      <c r="A777" s="4">
        <v>50</v>
      </c>
      <c r="B777" s="4">
        <v>0</v>
      </c>
      <c r="C777" s="4">
        <v>0</v>
      </c>
      <c r="D777" s="4">
        <v>1</v>
      </c>
      <c r="E777" s="4">
        <v>201</v>
      </c>
      <c r="F777" s="4">
        <f>ROUND(Source!O775,O777)</f>
        <v>1684779.65</v>
      </c>
      <c r="G777" s="4" t="s">
        <v>98</v>
      </c>
      <c r="H777" s="4" t="s">
        <v>99</v>
      </c>
      <c r="I777" s="4"/>
      <c r="J777" s="4"/>
      <c r="K777" s="4">
        <v>201</v>
      </c>
      <c r="L777" s="4">
        <v>1</v>
      </c>
      <c r="M777" s="4">
        <v>3</v>
      </c>
      <c r="N777" s="4" t="s">
        <v>3</v>
      </c>
      <c r="O777" s="4">
        <v>2</v>
      </c>
      <c r="P777" s="4"/>
      <c r="Q777" s="4"/>
      <c r="R777" s="4"/>
      <c r="S777" s="4"/>
      <c r="T777" s="4"/>
      <c r="U777" s="4"/>
      <c r="V777" s="4"/>
      <c r="W777" s="4">
        <v>0</v>
      </c>
      <c r="X777" s="4">
        <v>1</v>
      </c>
      <c r="Y777" s="4">
        <v>0</v>
      </c>
      <c r="Z777" s="4"/>
      <c r="AA777" s="4"/>
      <c r="AB777" s="4"/>
    </row>
    <row r="778" spans="1:206" x14ac:dyDescent="0.2">
      <c r="A778" s="4">
        <v>50</v>
      </c>
      <c r="B778" s="4">
        <v>0</v>
      </c>
      <c r="C778" s="4">
        <v>0</v>
      </c>
      <c r="D778" s="4">
        <v>1</v>
      </c>
      <c r="E778" s="4">
        <v>202</v>
      </c>
      <c r="F778" s="4">
        <f>ROUND(Source!P775,O778)</f>
        <v>14131.21</v>
      </c>
      <c r="G778" s="4" t="s">
        <v>100</v>
      </c>
      <c r="H778" s="4" t="s">
        <v>101</v>
      </c>
      <c r="I778" s="4"/>
      <c r="J778" s="4"/>
      <c r="K778" s="4">
        <v>202</v>
      </c>
      <c r="L778" s="4">
        <v>2</v>
      </c>
      <c r="M778" s="4">
        <v>3</v>
      </c>
      <c r="N778" s="4" t="s">
        <v>3</v>
      </c>
      <c r="O778" s="4">
        <v>2</v>
      </c>
      <c r="P778" s="4"/>
      <c r="Q778" s="4"/>
      <c r="R778" s="4"/>
      <c r="S778" s="4"/>
      <c r="T778" s="4"/>
      <c r="U778" s="4"/>
      <c r="V778" s="4"/>
      <c r="W778" s="4">
        <v>0</v>
      </c>
      <c r="X778" s="4">
        <v>1</v>
      </c>
      <c r="Y778" s="4">
        <v>0</v>
      </c>
      <c r="Z778" s="4"/>
      <c r="AA778" s="4"/>
      <c r="AB778" s="4"/>
    </row>
    <row r="779" spans="1:206" x14ac:dyDescent="0.2">
      <c r="A779" s="4">
        <v>50</v>
      </c>
      <c r="B779" s="4">
        <v>0</v>
      </c>
      <c r="C779" s="4">
        <v>0</v>
      </c>
      <c r="D779" s="4">
        <v>1</v>
      </c>
      <c r="E779" s="4">
        <v>222</v>
      </c>
      <c r="F779" s="4">
        <f>ROUND(Source!AO775,O779)</f>
        <v>0</v>
      </c>
      <c r="G779" s="4" t="s">
        <v>102</v>
      </c>
      <c r="H779" s="4" t="s">
        <v>103</v>
      </c>
      <c r="I779" s="4"/>
      <c r="J779" s="4"/>
      <c r="K779" s="4">
        <v>222</v>
      </c>
      <c r="L779" s="4">
        <v>3</v>
      </c>
      <c r="M779" s="4">
        <v>3</v>
      </c>
      <c r="N779" s="4" t="s">
        <v>3</v>
      </c>
      <c r="O779" s="4">
        <v>2</v>
      </c>
      <c r="P779" s="4"/>
      <c r="Q779" s="4"/>
      <c r="R779" s="4"/>
      <c r="S779" s="4"/>
      <c r="T779" s="4"/>
      <c r="U779" s="4"/>
      <c r="V779" s="4"/>
      <c r="W779" s="4">
        <v>0</v>
      </c>
      <c r="X779" s="4">
        <v>1</v>
      </c>
      <c r="Y779" s="4">
        <v>0</v>
      </c>
      <c r="Z779" s="4"/>
      <c r="AA779" s="4"/>
      <c r="AB779" s="4"/>
    </row>
    <row r="780" spans="1:206" x14ac:dyDescent="0.2">
      <c r="A780" s="4">
        <v>50</v>
      </c>
      <c r="B780" s="4">
        <v>0</v>
      </c>
      <c r="C780" s="4">
        <v>0</v>
      </c>
      <c r="D780" s="4">
        <v>1</v>
      </c>
      <c r="E780" s="4">
        <v>225</v>
      </c>
      <c r="F780" s="4">
        <f>ROUND(Source!AV775,O780)</f>
        <v>14131.21</v>
      </c>
      <c r="G780" s="4" t="s">
        <v>104</v>
      </c>
      <c r="H780" s="4" t="s">
        <v>105</v>
      </c>
      <c r="I780" s="4"/>
      <c r="J780" s="4"/>
      <c r="K780" s="4">
        <v>225</v>
      </c>
      <c r="L780" s="4">
        <v>4</v>
      </c>
      <c r="M780" s="4">
        <v>3</v>
      </c>
      <c r="N780" s="4" t="s">
        <v>3</v>
      </c>
      <c r="O780" s="4">
        <v>2</v>
      </c>
      <c r="P780" s="4"/>
      <c r="Q780" s="4"/>
      <c r="R780" s="4"/>
      <c r="S780" s="4"/>
      <c r="T780" s="4"/>
      <c r="U780" s="4"/>
      <c r="V780" s="4"/>
      <c r="W780" s="4">
        <v>0</v>
      </c>
      <c r="X780" s="4">
        <v>1</v>
      </c>
      <c r="Y780" s="4">
        <v>0</v>
      </c>
      <c r="Z780" s="4"/>
      <c r="AA780" s="4"/>
      <c r="AB780" s="4"/>
    </row>
    <row r="781" spans="1:206" x14ac:dyDescent="0.2">
      <c r="A781" s="4">
        <v>50</v>
      </c>
      <c r="B781" s="4">
        <v>0</v>
      </c>
      <c r="C781" s="4">
        <v>0</v>
      </c>
      <c r="D781" s="4">
        <v>1</v>
      </c>
      <c r="E781" s="4">
        <v>226</v>
      </c>
      <c r="F781" s="4">
        <f>ROUND(Source!AW775,O781)</f>
        <v>14131.21</v>
      </c>
      <c r="G781" s="4" t="s">
        <v>106</v>
      </c>
      <c r="H781" s="4" t="s">
        <v>107</v>
      </c>
      <c r="I781" s="4"/>
      <c r="J781" s="4"/>
      <c r="K781" s="4">
        <v>226</v>
      </c>
      <c r="L781" s="4">
        <v>5</v>
      </c>
      <c r="M781" s="4">
        <v>3</v>
      </c>
      <c r="N781" s="4" t="s">
        <v>3</v>
      </c>
      <c r="O781" s="4">
        <v>2</v>
      </c>
      <c r="P781" s="4"/>
      <c r="Q781" s="4"/>
      <c r="R781" s="4"/>
      <c r="S781" s="4"/>
      <c r="T781" s="4"/>
      <c r="U781" s="4"/>
      <c r="V781" s="4"/>
      <c r="W781" s="4">
        <v>0</v>
      </c>
      <c r="X781" s="4">
        <v>1</v>
      </c>
      <c r="Y781" s="4">
        <v>0</v>
      </c>
      <c r="Z781" s="4"/>
      <c r="AA781" s="4"/>
      <c r="AB781" s="4"/>
    </row>
    <row r="782" spans="1:206" x14ac:dyDescent="0.2">
      <c r="A782" s="4">
        <v>50</v>
      </c>
      <c r="B782" s="4">
        <v>0</v>
      </c>
      <c r="C782" s="4">
        <v>0</v>
      </c>
      <c r="D782" s="4">
        <v>1</v>
      </c>
      <c r="E782" s="4">
        <v>227</v>
      </c>
      <c r="F782" s="4">
        <f>ROUND(Source!AX775,O782)</f>
        <v>0</v>
      </c>
      <c r="G782" s="4" t="s">
        <v>108</v>
      </c>
      <c r="H782" s="4" t="s">
        <v>109</v>
      </c>
      <c r="I782" s="4"/>
      <c r="J782" s="4"/>
      <c r="K782" s="4">
        <v>227</v>
      </c>
      <c r="L782" s="4">
        <v>6</v>
      </c>
      <c r="M782" s="4">
        <v>3</v>
      </c>
      <c r="N782" s="4" t="s">
        <v>3</v>
      </c>
      <c r="O782" s="4">
        <v>2</v>
      </c>
      <c r="P782" s="4"/>
      <c r="Q782" s="4"/>
      <c r="R782" s="4"/>
      <c r="S782" s="4"/>
      <c r="T782" s="4"/>
      <c r="U782" s="4"/>
      <c r="V782" s="4"/>
      <c r="W782" s="4">
        <v>0</v>
      </c>
      <c r="X782" s="4">
        <v>1</v>
      </c>
      <c r="Y782" s="4">
        <v>0</v>
      </c>
      <c r="Z782" s="4"/>
      <c r="AA782" s="4"/>
      <c r="AB782" s="4"/>
    </row>
    <row r="783" spans="1:206" x14ac:dyDescent="0.2">
      <c r="A783" s="4">
        <v>50</v>
      </c>
      <c r="B783" s="4">
        <v>0</v>
      </c>
      <c r="C783" s="4">
        <v>0</v>
      </c>
      <c r="D783" s="4">
        <v>1</v>
      </c>
      <c r="E783" s="4">
        <v>228</v>
      </c>
      <c r="F783" s="4">
        <f>ROUND(Source!AY775,O783)</f>
        <v>14131.21</v>
      </c>
      <c r="G783" s="4" t="s">
        <v>110</v>
      </c>
      <c r="H783" s="4" t="s">
        <v>111</v>
      </c>
      <c r="I783" s="4"/>
      <c r="J783" s="4"/>
      <c r="K783" s="4">
        <v>228</v>
      </c>
      <c r="L783" s="4">
        <v>7</v>
      </c>
      <c r="M783" s="4">
        <v>3</v>
      </c>
      <c r="N783" s="4" t="s">
        <v>3</v>
      </c>
      <c r="O783" s="4">
        <v>2</v>
      </c>
      <c r="P783" s="4"/>
      <c r="Q783" s="4"/>
      <c r="R783" s="4"/>
      <c r="S783" s="4"/>
      <c r="T783" s="4"/>
      <c r="U783" s="4"/>
      <c r="V783" s="4"/>
      <c r="W783" s="4">
        <v>0</v>
      </c>
      <c r="X783" s="4">
        <v>1</v>
      </c>
      <c r="Y783" s="4">
        <v>0</v>
      </c>
      <c r="Z783" s="4"/>
      <c r="AA783" s="4"/>
      <c r="AB783" s="4"/>
    </row>
    <row r="784" spans="1:206" x14ac:dyDescent="0.2">
      <c r="A784" s="4">
        <v>50</v>
      </c>
      <c r="B784" s="4">
        <v>0</v>
      </c>
      <c r="C784" s="4">
        <v>0</v>
      </c>
      <c r="D784" s="4">
        <v>1</v>
      </c>
      <c r="E784" s="4">
        <v>216</v>
      </c>
      <c r="F784" s="4">
        <f>ROUND(Source!AP775,O784)</f>
        <v>0</v>
      </c>
      <c r="G784" s="4" t="s">
        <v>112</v>
      </c>
      <c r="H784" s="4" t="s">
        <v>113</v>
      </c>
      <c r="I784" s="4"/>
      <c r="J784" s="4"/>
      <c r="K784" s="4">
        <v>216</v>
      </c>
      <c r="L784" s="4">
        <v>8</v>
      </c>
      <c r="M784" s="4">
        <v>3</v>
      </c>
      <c r="N784" s="4" t="s">
        <v>3</v>
      </c>
      <c r="O784" s="4">
        <v>2</v>
      </c>
      <c r="P784" s="4"/>
      <c r="Q784" s="4"/>
      <c r="R784" s="4"/>
      <c r="S784" s="4"/>
      <c r="T784" s="4"/>
      <c r="U784" s="4"/>
      <c r="V784" s="4"/>
      <c r="W784" s="4">
        <v>0</v>
      </c>
      <c r="X784" s="4">
        <v>1</v>
      </c>
      <c r="Y784" s="4">
        <v>0</v>
      </c>
      <c r="Z784" s="4"/>
      <c r="AA784" s="4"/>
      <c r="AB784" s="4"/>
    </row>
    <row r="785" spans="1:28" x14ac:dyDescent="0.2">
      <c r="A785" s="4">
        <v>50</v>
      </c>
      <c r="B785" s="4">
        <v>0</v>
      </c>
      <c r="C785" s="4">
        <v>0</v>
      </c>
      <c r="D785" s="4">
        <v>1</v>
      </c>
      <c r="E785" s="4">
        <v>223</v>
      </c>
      <c r="F785" s="4">
        <f>ROUND(Source!AQ775,O785)</f>
        <v>0</v>
      </c>
      <c r="G785" s="4" t="s">
        <v>114</v>
      </c>
      <c r="H785" s="4" t="s">
        <v>115</v>
      </c>
      <c r="I785" s="4"/>
      <c r="J785" s="4"/>
      <c r="K785" s="4">
        <v>223</v>
      </c>
      <c r="L785" s="4">
        <v>9</v>
      </c>
      <c r="M785" s="4">
        <v>3</v>
      </c>
      <c r="N785" s="4" t="s">
        <v>3</v>
      </c>
      <c r="O785" s="4">
        <v>2</v>
      </c>
      <c r="P785" s="4"/>
      <c r="Q785" s="4"/>
      <c r="R785" s="4"/>
      <c r="S785" s="4"/>
      <c r="T785" s="4"/>
      <c r="U785" s="4"/>
      <c r="V785" s="4"/>
      <c r="W785" s="4">
        <v>0</v>
      </c>
      <c r="X785" s="4">
        <v>1</v>
      </c>
      <c r="Y785" s="4">
        <v>0</v>
      </c>
      <c r="Z785" s="4"/>
      <c r="AA785" s="4"/>
      <c r="AB785" s="4"/>
    </row>
    <row r="786" spans="1:28" x14ac:dyDescent="0.2">
      <c r="A786" s="4">
        <v>50</v>
      </c>
      <c r="B786" s="4">
        <v>0</v>
      </c>
      <c r="C786" s="4">
        <v>0</v>
      </c>
      <c r="D786" s="4">
        <v>1</v>
      </c>
      <c r="E786" s="4">
        <v>229</v>
      </c>
      <c r="F786" s="4">
        <f>ROUND(Source!AZ775,O786)</f>
        <v>0</v>
      </c>
      <c r="G786" s="4" t="s">
        <v>116</v>
      </c>
      <c r="H786" s="4" t="s">
        <v>117</v>
      </c>
      <c r="I786" s="4"/>
      <c r="J786" s="4"/>
      <c r="K786" s="4">
        <v>229</v>
      </c>
      <c r="L786" s="4">
        <v>10</v>
      </c>
      <c r="M786" s="4">
        <v>3</v>
      </c>
      <c r="N786" s="4" t="s">
        <v>3</v>
      </c>
      <c r="O786" s="4">
        <v>2</v>
      </c>
      <c r="P786" s="4"/>
      <c r="Q786" s="4"/>
      <c r="R786" s="4"/>
      <c r="S786" s="4"/>
      <c r="T786" s="4"/>
      <c r="U786" s="4"/>
      <c r="V786" s="4"/>
      <c r="W786" s="4">
        <v>0</v>
      </c>
      <c r="X786" s="4">
        <v>1</v>
      </c>
      <c r="Y786" s="4">
        <v>0</v>
      </c>
      <c r="Z786" s="4"/>
      <c r="AA786" s="4"/>
      <c r="AB786" s="4"/>
    </row>
    <row r="787" spans="1:28" x14ac:dyDescent="0.2">
      <c r="A787" s="4">
        <v>50</v>
      </c>
      <c r="B787" s="4">
        <v>0</v>
      </c>
      <c r="C787" s="4">
        <v>0</v>
      </c>
      <c r="D787" s="4">
        <v>1</v>
      </c>
      <c r="E787" s="4">
        <v>203</v>
      </c>
      <c r="F787" s="4">
        <f>ROUND(Source!Q775,O787)</f>
        <v>83920.84</v>
      </c>
      <c r="G787" s="4" t="s">
        <v>118</v>
      </c>
      <c r="H787" s="4" t="s">
        <v>119</v>
      </c>
      <c r="I787" s="4"/>
      <c r="J787" s="4"/>
      <c r="K787" s="4">
        <v>203</v>
      </c>
      <c r="L787" s="4">
        <v>11</v>
      </c>
      <c r="M787" s="4">
        <v>3</v>
      </c>
      <c r="N787" s="4" t="s">
        <v>3</v>
      </c>
      <c r="O787" s="4">
        <v>2</v>
      </c>
      <c r="P787" s="4"/>
      <c r="Q787" s="4"/>
      <c r="R787" s="4"/>
      <c r="S787" s="4"/>
      <c r="T787" s="4"/>
      <c r="U787" s="4"/>
      <c r="V787" s="4"/>
      <c r="W787" s="4">
        <v>0</v>
      </c>
      <c r="X787" s="4">
        <v>1</v>
      </c>
      <c r="Y787" s="4">
        <v>0</v>
      </c>
      <c r="Z787" s="4"/>
      <c r="AA787" s="4"/>
      <c r="AB787" s="4"/>
    </row>
    <row r="788" spans="1:28" x14ac:dyDescent="0.2">
      <c r="A788" s="4">
        <v>50</v>
      </c>
      <c r="B788" s="4">
        <v>0</v>
      </c>
      <c r="C788" s="4">
        <v>0</v>
      </c>
      <c r="D788" s="4">
        <v>1</v>
      </c>
      <c r="E788" s="4">
        <v>231</v>
      </c>
      <c r="F788" s="4">
        <f>ROUND(Source!BB775,O788)</f>
        <v>0</v>
      </c>
      <c r="G788" s="4" t="s">
        <v>120</v>
      </c>
      <c r="H788" s="4" t="s">
        <v>121</v>
      </c>
      <c r="I788" s="4"/>
      <c r="J788" s="4"/>
      <c r="K788" s="4">
        <v>231</v>
      </c>
      <c r="L788" s="4">
        <v>12</v>
      </c>
      <c r="M788" s="4">
        <v>3</v>
      </c>
      <c r="N788" s="4" t="s">
        <v>3</v>
      </c>
      <c r="O788" s="4">
        <v>2</v>
      </c>
      <c r="P788" s="4"/>
      <c r="Q788" s="4"/>
      <c r="R788" s="4"/>
      <c r="S788" s="4"/>
      <c r="T788" s="4"/>
      <c r="U788" s="4"/>
      <c r="V788" s="4"/>
      <c r="W788" s="4">
        <v>0</v>
      </c>
      <c r="X788" s="4">
        <v>1</v>
      </c>
      <c r="Y788" s="4">
        <v>0</v>
      </c>
      <c r="Z788" s="4"/>
      <c r="AA788" s="4"/>
      <c r="AB788" s="4"/>
    </row>
    <row r="789" spans="1:28" x14ac:dyDescent="0.2">
      <c r="A789" s="4">
        <v>50</v>
      </c>
      <c r="B789" s="4">
        <v>0</v>
      </c>
      <c r="C789" s="4">
        <v>0</v>
      </c>
      <c r="D789" s="4">
        <v>1</v>
      </c>
      <c r="E789" s="4">
        <v>204</v>
      </c>
      <c r="F789" s="4">
        <f>ROUND(Source!R775,O789)</f>
        <v>52964.36</v>
      </c>
      <c r="G789" s="4" t="s">
        <v>122</v>
      </c>
      <c r="H789" s="4" t="s">
        <v>123</v>
      </c>
      <c r="I789" s="4"/>
      <c r="J789" s="4"/>
      <c r="K789" s="4">
        <v>204</v>
      </c>
      <c r="L789" s="4">
        <v>13</v>
      </c>
      <c r="M789" s="4">
        <v>3</v>
      </c>
      <c r="N789" s="4" t="s">
        <v>3</v>
      </c>
      <c r="O789" s="4">
        <v>2</v>
      </c>
      <c r="P789" s="4"/>
      <c r="Q789" s="4"/>
      <c r="R789" s="4"/>
      <c r="S789" s="4"/>
      <c r="T789" s="4"/>
      <c r="U789" s="4"/>
      <c r="V789" s="4"/>
      <c r="W789" s="4">
        <v>0</v>
      </c>
      <c r="X789" s="4">
        <v>1</v>
      </c>
      <c r="Y789" s="4">
        <v>0</v>
      </c>
      <c r="Z789" s="4"/>
      <c r="AA789" s="4"/>
      <c r="AB789" s="4"/>
    </row>
    <row r="790" spans="1:28" x14ac:dyDescent="0.2">
      <c r="A790" s="4">
        <v>50</v>
      </c>
      <c r="B790" s="4">
        <v>0</v>
      </c>
      <c r="C790" s="4">
        <v>0</v>
      </c>
      <c r="D790" s="4">
        <v>1</v>
      </c>
      <c r="E790" s="4">
        <v>205</v>
      </c>
      <c r="F790" s="4">
        <f>ROUND(Source!S775,O790)</f>
        <v>1586727.6</v>
      </c>
      <c r="G790" s="4" t="s">
        <v>124</v>
      </c>
      <c r="H790" s="4" t="s">
        <v>125</v>
      </c>
      <c r="I790" s="4"/>
      <c r="J790" s="4"/>
      <c r="K790" s="4">
        <v>205</v>
      </c>
      <c r="L790" s="4">
        <v>14</v>
      </c>
      <c r="M790" s="4">
        <v>3</v>
      </c>
      <c r="N790" s="4" t="s">
        <v>3</v>
      </c>
      <c r="O790" s="4">
        <v>2</v>
      </c>
      <c r="P790" s="4"/>
      <c r="Q790" s="4"/>
      <c r="R790" s="4"/>
      <c r="S790" s="4"/>
      <c r="T790" s="4"/>
      <c r="U790" s="4"/>
      <c r="V790" s="4"/>
      <c r="W790" s="4">
        <v>0</v>
      </c>
      <c r="X790" s="4">
        <v>1</v>
      </c>
      <c r="Y790" s="4">
        <v>0</v>
      </c>
      <c r="Z790" s="4"/>
      <c r="AA790" s="4"/>
      <c r="AB790" s="4"/>
    </row>
    <row r="791" spans="1:28" x14ac:dyDescent="0.2">
      <c r="A791" s="4">
        <v>50</v>
      </c>
      <c r="B791" s="4">
        <v>0</v>
      </c>
      <c r="C791" s="4">
        <v>0</v>
      </c>
      <c r="D791" s="4">
        <v>1</v>
      </c>
      <c r="E791" s="4">
        <v>232</v>
      </c>
      <c r="F791" s="4">
        <f>ROUND(Source!BC775,O791)</f>
        <v>0</v>
      </c>
      <c r="G791" s="4" t="s">
        <v>126</v>
      </c>
      <c r="H791" s="4" t="s">
        <v>127</v>
      </c>
      <c r="I791" s="4"/>
      <c r="J791" s="4"/>
      <c r="K791" s="4">
        <v>232</v>
      </c>
      <c r="L791" s="4">
        <v>15</v>
      </c>
      <c r="M791" s="4">
        <v>3</v>
      </c>
      <c r="N791" s="4" t="s">
        <v>3</v>
      </c>
      <c r="O791" s="4">
        <v>2</v>
      </c>
      <c r="P791" s="4"/>
      <c r="Q791" s="4"/>
      <c r="R791" s="4"/>
      <c r="S791" s="4"/>
      <c r="T791" s="4"/>
      <c r="U791" s="4"/>
      <c r="V791" s="4"/>
      <c r="W791" s="4">
        <v>0</v>
      </c>
      <c r="X791" s="4">
        <v>1</v>
      </c>
      <c r="Y791" s="4">
        <v>0</v>
      </c>
      <c r="Z791" s="4"/>
      <c r="AA791" s="4"/>
      <c r="AB791" s="4"/>
    </row>
    <row r="792" spans="1:28" x14ac:dyDescent="0.2">
      <c r="A792" s="4">
        <v>50</v>
      </c>
      <c r="B792" s="4">
        <v>0</v>
      </c>
      <c r="C792" s="4">
        <v>0</v>
      </c>
      <c r="D792" s="4">
        <v>1</v>
      </c>
      <c r="E792" s="4">
        <v>214</v>
      </c>
      <c r="F792" s="4">
        <f>ROUND(Source!AS775,O792)</f>
        <v>0</v>
      </c>
      <c r="G792" s="4" t="s">
        <v>128</v>
      </c>
      <c r="H792" s="4" t="s">
        <v>129</v>
      </c>
      <c r="I792" s="4"/>
      <c r="J792" s="4"/>
      <c r="K792" s="4">
        <v>214</v>
      </c>
      <c r="L792" s="4">
        <v>16</v>
      </c>
      <c r="M792" s="4">
        <v>3</v>
      </c>
      <c r="N792" s="4" t="s">
        <v>3</v>
      </c>
      <c r="O792" s="4">
        <v>2</v>
      </c>
      <c r="P792" s="4"/>
      <c r="Q792" s="4"/>
      <c r="R792" s="4"/>
      <c r="S792" s="4"/>
      <c r="T792" s="4"/>
      <c r="U792" s="4"/>
      <c r="V792" s="4"/>
      <c r="W792" s="4">
        <v>0</v>
      </c>
      <c r="X792" s="4">
        <v>1</v>
      </c>
      <c r="Y792" s="4">
        <v>0</v>
      </c>
      <c r="Z792" s="4"/>
      <c r="AA792" s="4"/>
      <c r="AB792" s="4"/>
    </row>
    <row r="793" spans="1:28" x14ac:dyDescent="0.2">
      <c r="A793" s="4">
        <v>50</v>
      </c>
      <c r="B793" s="4">
        <v>0</v>
      </c>
      <c r="C793" s="4">
        <v>0</v>
      </c>
      <c r="D793" s="4">
        <v>1</v>
      </c>
      <c r="E793" s="4">
        <v>215</v>
      </c>
      <c r="F793" s="4">
        <f>ROUND(Source!AT775,O793)</f>
        <v>0</v>
      </c>
      <c r="G793" s="4" t="s">
        <v>130</v>
      </c>
      <c r="H793" s="4" t="s">
        <v>131</v>
      </c>
      <c r="I793" s="4"/>
      <c r="J793" s="4"/>
      <c r="K793" s="4">
        <v>215</v>
      </c>
      <c r="L793" s="4">
        <v>17</v>
      </c>
      <c r="M793" s="4">
        <v>3</v>
      </c>
      <c r="N793" s="4" t="s">
        <v>3</v>
      </c>
      <c r="O793" s="4">
        <v>2</v>
      </c>
      <c r="P793" s="4"/>
      <c r="Q793" s="4"/>
      <c r="R793" s="4"/>
      <c r="S793" s="4"/>
      <c r="T793" s="4"/>
      <c r="U793" s="4"/>
      <c r="V793" s="4"/>
      <c r="W793" s="4">
        <v>0</v>
      </c>
      <c r="X793" s="4">
        <v>1</v>
      </c>
      <c r="Y793" s="4">
        <v>0</v>
      </c>
      <c r="Z793" s="4"/>
      <c r="AA793" s="4"/>
      <c r="AB793" s="4"/>
    </row>
    <row r="794" spans="1:28" x14ac:dyDescent="0.2">
      <c r="A794" s="4">
        <v>50</v>
      </c>
      <c r="B794" s="4">
        <v>0</v>
      </c>
      <c r="C794" s="4">
        <v>0</v>
      </c>
      <c r="D794" s="4">
        <v>1</v>
      </c>
      <c r="E794" s="4">
        <v>217</v>
      </c>
      <c r="F794" s="4">
        <f>ROUND(Source!AU775,O794)</f>
        <v>3011363.32</v>
      </c>
      <c r="G794" s="4" t="s">
        <v>132</v>
      </c>
      <c r="H794" s="4" t="s">
        <v>133</v>
      </c>
      <c r="I794" s="4"/>
      <c r="J794" s="4"/>
      <c r="K794" s="4">
        <v>217</v>
      </c>
      <c r="L794" s="4">
        <v>18</v>
      </c>
      <c r="M794" s="4">
        <v>3</v>
      </c>
      <c r="N794" s="4" t="s">
        <v>3</v>
      </c>
      <c r="O794" s="4">
        <v>2</v>
      </c>
      <c r="P794" s="4"/>
      <c r="Q794" s="4"/>
      <c r="R794" s="4"/>
      <c r="S794" s="4"/>
      <c r="T794" s="4"/>
      <c r="U794" s="4"/>
      <c r="V794" s="4"/>
      <c r="W794" s="4">
        <v>0</v>
      </c>
      <c r="X794" s="4">
        <v>1</v>
      </c>
      <c r="Y794" s="4">
        <v>0</v>
      </c>
      <c r="Z794" s="4"/>
      <c r="AA794" s="4"/>
      <c r="AB794" s="4"/>
    </row>
    <row r="795" spans="1:28" x14ac:dyDescent="0.2">
      <c r="A795" s="4">
        <v>50</v>
      </c>
      <c r="B795" s="4">
        <v>0</v>
      </c>
      <c r="C795" s="4">
        <v>0</v>
      </c>
      <c r="D795" s="4">
        <v>1</v>
      </c>
      <c r="E795" s="4">
        <v>230</v>
      </c>
      <c r="F795" s="4">
        <f>ROUND(Source!BA775,O795)</f>
        <v>0</v>
      </c>
      <c r="G795" s="4" t="s">
        <v>134</v>
      </c>
      <c r="H795" s="4" t="s">
        <v>135</v>
      </c>
      <c r="I795" s="4"/>
      <c r="J795" s="4"/>
      <c r="K795" s="4">
        <v>230</v>
      </c>
      <c r="L795" s="4">
        <v>19</v>
      </c>
      <c r="M795" s="4">
        <v>3</v>
      </c>
      <c r="N795" s="4" t="s">
        <v>3</v>
      </c>
      <c r="O795" s="4">
        <v>2</v>
      </c>
      <c r="P795" s="4"/>
      <c r="Q795" s="4"/>
      <c r="R795" s="4"/>
      <c r="S795" s="4"/>
      <c r="T795" s="4"/>
      <c r="U795" s="4"/>
      <c r="V795" s="4"/>
      <c r="W795" s="4">
        <v>0</v>
      </c>
      <c r="X795" s="4">
        <v>1</v>
      </c>
      <c r="Y795" s="4">
        <v>0</v>
      </c>
      <c r="Z795" s="4"/>
      <c r="AA795" s="4"/>
      <c r="AB795" s="4"/>
    </row>
    <row r="796" spans="1:28" x14ac:dyDescent="0.2">
      <c r="A796" s="4">
        <v>50</v>
      </c>
      <c r="B796" s="4">
        <v>0</v>
      </c>
      <c r="C796" s="4">
        <v>0</v>
      </c>
      <c r="D796" s="4">
        <v>1</v>
      </c>
      <c r="E796" s="4">
        <v>206</v>
      </c>
      <c r="F796" s="4">
        <f>ROUND(Source!T775,O796)</f>
        <v>0</v>
      </c>
      <c r="G796" s="4" t="s">
        <v>136</v>
      </c>
      <c r="H796" s="4" t="s">
        <v>137</v>
      </c>
      <c r="I796" s="4"/>
      <c r="J796" s="4"/>
      <c r="K796" s="4">
        <v>206</v>
      </c>
      <c r="L796" s="4">
        <v>20</v>
      </c>
      <c r="M796" s="4">
        <v>3</v>
      </c>
      <c r="N796" s="4" t="s">
        <v>3</v>
      </c>
      <c r="O796" s="4">
        <v>2</v>
      </c>
      <c r="P796" s="4"/>
      <c r="Q796" s="4"/>
      <c r="R796" s="4"/>
      <c r="S796" s="4"/>
      <c r="T796" s="4"/>
      <c r="U796" s="4"/>
      <c r="V796" s="4"/>
      <c r="W796" s="4">
        <v>0</v>
      </c>
      <c r="X796" s="4">
        <v>1</v>
      </c>
      <c r="Y796" s="4">
        <v>0</v>
      </c>
      <c r="Z796" s="4"/>
      <c r="AA796" s="4"/>
      <c r="AB796" s="4"/>
    </row>
    <row r="797" spans="1:28" x14ac:dyDescent="0.2">
      <c r="A797" s="4">
        <v>50</v>
      </c>
      <c r="B797" s="4">
        <v>0</v>
      </c>
      <c r="C797" s="4">
        <v>0</v>
      </c>
      <c r="D797" s="4">
        <v>1</v>
      </c>
      <c r="E797" s="4">
        <v>207</v>
      </c>
      <c r="F797" s="4">
        <f>Source!U775</f>
        <v>2661.9053999999996</v>
      </c>
      <c r="G797" s="4" t="s">
        <v>138</v>
      </c>
      <c r="H797" s="4" t="s">
        <v>139</v>
      </c>
      <c r="I797" s="4"/>
      <c r="J797" s="4"/>
      <c r="K797" s="4">
        <v>207</v>
      </c>
      <c r="L797" s="4">
        <v>21</v>
      </c>
      <c r="M797" s="4">
        <v>3</v>
      </c>
      <c r="N797" s="4" t="s">
        <v>3</v>
      </c>
      <c r="O797" s="4">
        <v>-1</v>
      </c>
      <c r="P797" s="4"/>
      <c r="Q797" s="4"/>
      <c r="R797" s="4"/>
      <c r="S797" s="4"/>
      <c r="T797" s="4"/>
      <c r="U797" s="4"/>
      <c r="V797" s="4"/>
      <c r="W797" s="4">
        <v>0</v>
      </c>
      <c r="X797" s="4">
        <v>1</v>
      </c>
      <c r="Y797" s="4">
        <v>0</v>
      </c>
      <c r="Z797" s="4"/>
      <c r="AA797" s="4"/>
      <c r="AB797" s="4"/>
    </row>
    <row r="798" spans="1:28" x14ac:dyDescent="0.2">
      <c r="A798" s="4">
        <v>50</v>
      </c>
      <c r="B798" s="4">
        <v>0</v>
      </c>
      <c r="C798" s="4">
        <v>0</v>
      </c>
      <c r="D798" s="4">
        <v>1</v>
      </c>
      <c r="E798" s="4">
        <v>208</v>
      </c>
      <c r="F798" s="4">
        <f>Source!V775</f>
        <v>0</v>
      </c>
      <c r="G798" s="4" t="s">
        <v>140</v>
      </c>
      <c r="H798" s="4" t="s">
        <v>141</v>
      </c>
      <c r="I798" s="4"/>
      <c r="J798" s="4"/>
      <c r="K798" s="4">
        <v>208</v>
      </c>
      <c r="L798" s="4">
        <v>22</v>
      </c>
      <c r="M798" s="4">
        <v>3</v>
      </c>
      <c r="N798" s="4" t="s">
        <v>3</v>
      </c>
      <c r="O798" s="4">
        <v>-1</v>
      </c>
      <c r="P798" s="4"/>
      <c r="Q798" s="4"/>
      <c r="R798" s="4"/>
      <c r="S798" s="4"/>
      <c r="T798" s="4"/>
      <c r="U798" s="4"/>
      <c r="V798" s="4"/>
      <c r="W798" s="4">
        <v>0</v>
      </c>
      <c r="X798" s="4">
        <v>1</v>
      </c>
      <c r="Y798" s="4">
        <v>0</v>
      </c>
      <c r="Z798" s="4"/>
      <c r="AA798" s="4"/>
      <c r="AB798" s="4"/>
    </row>
    <row r="799" spans="1:28" x14ac:dyDescent="0.2">
      <c r="A799" s="4">
        <v>50</v>
      </c>
      <c r="B799" s="4">
        <v>0</v>
      </c>
      <c r="C799" s="4">
        <v>0</v>
      </c>
      <c r="D799" s="4">
        <v>1</v>
      </c>
      <c r="E799" s="4">
        <v>209</v>
      </c>
      <c r="F799" s="4">
        <f>ROUND(Source!W775,O799)</f>
        <v>0</v>
      </c>
      <c r="G799" s="4" t="s">
        <v>142</v>
      </c>
      <c r="H799" s="4" t="s">
        <v>143</v>
      </c>
      <c r="I799" s="4"/>
      <c r="J799" s="4"/>
      <c r="K799" s="4">
        <v>209</v>
      </c>
      <c r="L799" s="4">
        <v>23</v>
      </c>
      <c r="M799" s="4">
        <v>3</v>
      </c>
      <c r="N799" s="4" t="s">
        <v>3</v>
      </c>
      <c r="O799" s="4">
        <v>2</v>
      </c>
      <c r="P799" s="4"/>
      <c r="Q799" s="4"/>
      <c r="R799" s="4"/>
      <c r="S799" s="4"/>
      <c r="T799" s="4"/>
      <c r="U799" s="4"/>
      <c r="V799" s="4"/>
      <c r="W799" s="4">
        <v>0</v>
      </c>
      <c r="X799" s="4">
        <v>1</v>
      </c>
      <c r="Y799" s="4">
        <v>0</v>
      </c>
      <c r="Z799" s="4"/>
      <c r="AA799" s="4"/>
      <c r="AB799" s="4"/>
    </row>
    <row r="800" spans="1:28" x14ac:dyDescent="0.2">
      <c r="A800" s="4">
        <v>50</v>
      </c>
      <c r="B800" s="4">
        <v>0</v>
      </c>
      <c r="C800" s="4">
        <v>0</v>
      </c>
      <c r="D800" s="4">
        <v>1</v>
      </c>
      <c r="E800" s="4">
        <v>233</v>
      </c>
      <c r="F800" s="4">
        <f>ROUND(Source!BD775,O800)</f>
        <v>0</v>
      </c>
      <c r="G800" s="4" t="s">
        <v>144</v>
      </c>
      <c r="H800" s="4" t="s">
        <v>145</v>
      </c>
      <c r="I800" s="4"/>
      <c r="J800" s="4"/>
      <c r="K800" s="4">
        <v>233</v>
      </c>
      <c r="L800" s="4">
        <v>24</v>
      </c>
      <c r="M800" s="4">
        <v>3</v>
      </c>
      <c r="N800" s="4" t="s">
        <v>3</v>
      </c>
      <c r="O800" s="4">
        <v>2</v>
      </c>
      <c r="P800" s="4"/>
      <c r="Q800" s="4"/>
      <c r="R800" s="4"/>
      <c r="S800" s="4"/>
      <c r="T800" s="4"/>
      <c r="U800" s="4"/>
      <c r="V800" s="4"/>
      <c r="W800" s="4">
        <v>0</v>
      </c>
      <c r="X800" s="4">
        <v>1</v>
      </c>
      <c r="Y800" s="4">
        <v>0</v>
      </c>
      <c r="Z800" s="4"/>
      <c r="AA800" s="4"/>
      <c r="AB800" s="4"/>
    </row>
    <row r="801" spans="1:28" x14ac:dyDescent="0.2">
      <c r="A801" s="4">
        <v>50</v>
      </c>
      <c r="B801" s="4">
        <v>0</v>
      </c>
      <c r="C801" s="4">
        <v>0</v>
      </c>
      <c r="D801" s="4">
        <v>1</v>
      </c>
      <c r="E801" s="4">
        <v>210</v>
      </c>
      <c r="F801" s="4">
        <f>ROUND(Source!X775,O801)</f>
        <v>1110709.3799999999</v>
      </c>
      <c r="G801" s="4" t="s">
        <v>146</v>
      </c>
      <c r="H801" s="4" t="s">
        <v>147</v>
      </c>
      <c r="I801" s="4"/>
      <c r="J801" s="4"/>
      <c r="K801" s="4">
        <v>210</v>
      </c>
      <c r="L801" s="4">
        <v>25</v>
      </c>
      <c r="M801" s="4">
        <v>3</v>
      </c>
      <c r="N801" s="4" t="s">
        <v>3</v>
      </c>
      <c r="O801" s="4">
        <v>2</v>
      </c>
      <c r="P801" s="4"/>
      <c r="Q801" s="4"/>
      <c r="R801" s="4"/>
      <c r="S801" s="4"/>
      <c r="T801" s="4"/>
      <c r="U801" s="4"/>
      <c r="V801" s="4"/>
      <c r="W801" s="4">
        <v>0</v>
      </c>
      <c r="X801" s="4">
        <v>1</v>
      </c>
      <c r="Y801" s="4">
        <v>0</v>
      </c>
      <c r="Z801" s="4"/>
      <c r="AA801" s="4"/>
      <c r="AB801" s="4"/>
    </row>
    <row r="802" spans="1:28" x14ac:dyDescent="0.2">
      <c r="A802" s="4">
        <v>50</v>
      </c>
      <c r="B802" s="4">
        <v>0</v>
      </c>
      <c r="C802" s="4">
        <v>0</v>
      </c>
      <c r="D802" s="4">
        <v>1</v>
      </c>
      <c r="E802" s="4">
        <v>211</v>
      </c>
      <c r="F802" s="4">
        <f>ROUND(Source!Y775,O802)</f>
        <v>158672.76999999999</v>
      </c>
      <c r="G802" s="4" t="s">
        <v>148</v>
      </c>
      <c r="H802" s="4" t="s">
        <v>149</v>
      </c>
      <c r="I802" s="4"/>
      <c r="J802" s="4"/>
      <c r="K802" s="4">
        <v>211</v>
      </c>
      <c r="L802" s="4">
        <v>26</v>
      </c>
      <c r="M802" s="4">
        <v>3</v>
      </c>
      <c r="N802" s="4" t="s">
        <v>3</v>
      </c>
      <c r="O802" s="4">
        <v>2</v>
      </c>
      <c r="P802" s="4"/>
      <c r="Q802" s="4"/>
      <c r="R802" s="4"/>
      <c r="S802" s="4"/>
      <c r="T802" s="4"/>
      <c r="U802" s="4"/>
      <c r="V802" s="4"/>
      <c r="W802" s="4">
        <v>0</v>
      </c>
      <c r="X802" s="4">
        <v>1</v>
      </c>
      <c r="Y802" s="4">
        <v>0</v>
      </c>
      <c r="Z802" s="4"/>
      <c r="AA802" s="4"/>
      <c r="AB802" s="4"/>
    </row>
    <row r="803" spans="1:28" x14ac:dyDescent="0.2">
      <c r="A803" s="4">
        <v>50</v>
      </c>
      <c r="B803" s="4">
        <v>0</v>
      </c>
      <c r="C803" s="4">
        <v>0</v>
      </c>
      <c r="D803" s="4">
        <v>1</v>
      </c>
      <c r="E803" s="4">
        <v>224</v>
      </c>
      <c r="F803" s="4">
        <f>ROUND(Source!AR775,O803)</f>
        <v>3011363.32</v>
      </c>
      <c r="G803" s="4" t="s">
        <v>150</v>
      </c>
      <c r="H803" s="4" t="s">
        <v>151</v>
      </c>
      <c r="I803" s="4"/>
      <c r="J803" s="4"/>
      <c r="K803" s="4">
        <v>224</v>
      </c>
      <c r="L803" s="4">
        <v>27</v>
      </c>
      <c r="M803" s="4">
        <v>3</v>
      </c>
      <c r="N803" s="4" t="s">
        <v>3</v>
      </c>
      <c r="O803" s="4">
        <v>2</v>
      </c>
      <c r="P803" s="4"/>
      <c r="Q803" s="4"/>
      <c r="R803" s="4"/>
      <c r="S803" s="4"/>
      <c r="T803" s="4"/>
      <c r="U803" s="4"/>
      <c r="V803" s="4"/>
      <c r="W803" s="4">
        <v>0</v>
      </c>
      <c r="X803" s="4">
        <v>1</v>
      </c>
      <c r="Y803" s="4">
        <v>0</v>
      </c>
      <c r="Z803" s="4"/>
      <c r="AA803" s="4"/>
      <c r="AB803" s="4"/>
    </row>
    <row r="804" spans="1:28" x14ac:dyDescent="0.2">
      <c r="A804" s="4">
        <v>50</v>
      </c>
      <c r="B804" s="4">
        <v>1</v>
      </c>
      <c r="C804" s="4">
        <v>0</v>
      </c>
      <c r="D804" s="4">
        <v>2</v>
      </c>
      <c r="E804" s="4">
        <v>0</v>
      </c>
      <c r="F804" s="4">
        <f>ROUND(F803,O804)</f>
        <v>3011363.32</v>
      </c>
      <c r="G804" s="4" t="s">
        <v>391</v>
      </c>
      <c r="H804" s="4" t="s">
        <v>392</v>
      </c>
      <c r="I804" s="4"/>
      <c r="J804" s="4"/>
      <c r="K804" s="4">
        <v>212</v>
      </c>
      <c r="L804" s="4">
        <v>28</v>
      </c>
      <c r="M804" s="4">
        <v>0</v>
      </c>
      <c r="N804" s="4" t="s">
        <v>3</v>
      </c>
      <c r="O804" s="4">
        <v>2</v>
      </c>
      <c r="P804" s="4"/>
      <c r="Q804" s="4"/>
      <c r="R804" s="4"/>
      <c r="S804" s="4"/>
      <c r="T804" s="4"/>
      <c r="U804" s="4"/>
      <c r="V804" s="4"/>
      <c r="W804" s="4">
        <v>0</v>
      </c>
      <c r="X804" s="4">
        <v>1</v>
      </c>
      <c r="Y804" s="4">
        <v>0</v>
      </c>
      <c r="Z804" s="4"/>
      <c r="AA804" s="4"/>
      <c r="AB804" s="4"/>
    </row>
    <row r="805" spans="1:28" x14ac:dyDescent="0.2">
      <c r="A805" s="4">
        <v>50</v>
      </c>
      <c r="B805" s="4">
        <v>1</v>
      </c>
      <c r="C805" s="4">
        <v>0</v>
      </c>
      <c r="D805" s="4">
        <v>2</v>
      </c>
      <c r="E805" s="4">
        <v>0</v>
      </c>
      <c r="F805" s="4">
        <f>ROUND(F804*0.22,O805)</f>
        <v>662499.93000000005</v>
      </c>
      <c r="G805" s="4" t="s">
        <v>393</v>
      </c>
      <c r="H805" s="4" t="s">
        <v>556</v>
      </c>
      <c r="I805" s="4"/>
      <c r="J805" s="4"/>
      <c r="K805" s="4">
        <v>212</v>
      </c>
      <c r="L805" s="4">
        <v>29</v>
      </c>
      <c r="M805" s="4">
        <v>0</v>
      </c>
      <c r="N805" s="4" t="s">
        <v>3</v>
      </c>
      <c r="O805" s="4">
        <v>2</v>
      </c>
      <c r="P805" s="4"/>
      <c r="Q805" s="4"/>
      <c r="R805" s="4"/>
      <c r="S805" s="4"/>
      <c r="T805" s="4"/>
      <c r="U805" s="4"/>
      <c r="V805" s="4"/>
      <c r="W805" s="4">
        <v>0</v>
      </c>
      <c r="X805" s="4">
        <v>1</v>
      </c>
      <c r="Y805" s="4">
        <v>0</v>
      </c>
      <c r="Z805" s="4"/>
      <c r="AA805" s="4"/>
      <c r="AB805" s="4"/>
    </row>
    <row r="806" spans="1:28" x14ac:dyDescent="0.2">
      <c r="A806" s="4">
        <v>50</v>
      </c>
      <c r="B806" s="4">
        <v>1</v>
      </c>
      <c r="C806" s="4">
        <v>0</v>
      </c>
      <c r="D806" s="4">
        <v>2</v>
      </c>
      <c r="E806" s="4">
        <v>0</v>
      </c>
      <c r="F806" s="4">
        <f>ROUND(F804+F805,O806)</f>
        <v>3673863.25</v>
      </c>
      <c r="G806" s="4" t="s">
        <v>395</v>
      </c>
      <c r="H806" s="4" t="s">
        <v>396</v>
      </c>
      <c r="I806" s="4"/>
      <c r="J806" s="4"/>
      <c r="K806" s="4">
        <v>212</v>
      </c>
      <c r="L806" s="4">
        <v>30</v>
      </c>
      <c r="M806" s="4">
        <v>0</v>
      </c>
      <c r="N806" s="4" t="s">
        <v>3</v>
      </c>
      <c r="O806" s="4">
        <v>2</v>
      </c>
      <c r="P806" s="4"/>
      <c r="Q806" s="4"/>
      <c r="R806" s="4"/>
      <c r="S806" s="4"/>
      <c r="T806" s="4"/>
      <c r="U806" s="4"/>
      <c r="V806" s="4"/>
      <c r="W806" s="4">
        <v>0</v>
      </c>
      <c r="X806" s="4">
        <v>1</v>
      </c>
      <c r="Y806" s="4">
        <v>0</v>
      </c>
      <c r="Z806" s="4"/>
      <c r="AA806" s="4"/>
      <c r="AB806" s="4"/>
    </row>
    <row r="808" spans="1:28" x14ac:dyDescent="0.2">
      <c r="A808" s="5">
        <v>61</v>
      </c>
      <c r="B808" s="5"/>
      <c r="C808" s="5"/>
      <c r="D808" s="5"/>
      <c r="E808" s="5"/>
      <c r="F808" s="5">
        <v>0</v>
      </c>
      <c r="G808" s="5" t="s">
        <v>3</v>
      </c>
      <c r="H808" s="5" t="s">
        <v>3</v>
      </c>
    </row>
    <row r="809" spans="1:28" x14ac:dyDescent="0.2">
      <c r="A809" s="5">
        <v>61</v>
      </c>
      <c r="B809" s="5"/>
      <c r="C809" s="5"/>
      <c r="D809" s="5"/>
      <c r="E809" s="5"/>
      <c r="F809" s="5">
        <v>0</v>
      </c>
      <c r="G809" s="5" t="s">
        <v>397</v>
      </c>
      <c r="H809" s="5" t="s">
        <v>398</v>
      </c>
    </row>
    <row r="812" spans="1:28" x14ac:dyDescent="0.2">
      <c r="A812">
        <v>-1</v>
      </c>
    </row>
    <row r="814" spans="1:28" x14ac:dyDescent="0.2">
      <c r="A814" s="3">
        <v>75</v>
      </c>
      <c r="B814" s="3" t="s">
        <v>399</v>
      </c>
      <c r="C814" s="3">
        <v>2025</v>
      </c>
      <c r="D814" s="3">
        <v>0</v>
      </c>
      <c r="E814" s="3">
        <v>10</v>
      </c>
      <c r="F814" s="3">
        <v>0</v>
      </c>
      <c r="G814" s="3">
        <v>0</v>
      </c>
      <c r="H814" s="3">
        <v>1</v>
      </c>
      <c r="I814" s="3">
        <v>0</v>
      </c>
      <c r="J814" s="3">
        <v>1</v>
      </c>
      <c r="K814" s="3">
        <v>78</v>
      </c>
      <c r="L814" s="3">
        <v>30</v>
      </c>
      <c r="M814" s="3">
        <v>0</v>
      </c>
      <c r="N814" s="3">
        <v>1471718271</v>
      </c>
      <c r="O814" s="3">
        <v>1</v>
      </c>
    </row>
    <row r="818" spans="1:5" x14ac:dyDescent="0.2">
      <c r="A818">
        <v>65</v>
      </c>
      <c r="C818">
        <v>1</v>
      </c>
      <c r="D818">
        <v>0</v>
      </c>
      <c r="E818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C54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400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48718</v>
      </c>
      <c r="M1">
        <v>1045431799</v>
      </c>
      <c r="N1">
        <v>11</v>
      </c>
      <c r="O1">
        <v>12</v>
      </c>
      <c r="P1">
        <v>0</v>
      </c>
      <c r="Q1">
        <v>1</v>
      </c>
    </row>
    <row r="12" spans="1:133" x14ac:dyDescent="0.2">
      <c r="A12" s="1">
        <v>1</v>
      </c>
      <c r="B12" s="1">
        <v>54</v>
      </c>
      <c r="C12" s="1">
        <v>0</v>
      </c>
      <c r="D12" s="1"/>
      <c r="E12" s="1">
        <v>0</v>
      </c>
      <c r="F12" s="1" t="s">
        <v>3</v>
      </c>
      <c r="G12" s="1" t="s">
        <v>4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/>
      <c r="Y12" s="1"/>
      <c r="Z12" s="1"/>
      <c r="AA12" s="1"/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/>
      <c r="AI12" s="1"/>
      <c r="AJ12" s="1"/>
      <c r="AK12" s="1"/>
      <c r="AL12" s="1" t="s">
        <v>3</v>
      </c>
      <c r="AM12" s="1" t="s">
        <v>3</v>
      </c>
      <c r="AN12" s="1" t="s">
        <v>3</v>
      </c>
      <c r="AO12" s="1" t="s">
        <v>3</v>
      </c>
      <c r="AP12" s="1" t="s">
        <v>3</v>
      </c>
      <c r="AQ12" s="1" t="s">
        <v>3</v>
      </c>
      <c r="AR12" s="1" t="s">
        <v>3</v>
      </c>
      <c r="AS12" s="1" t="s">
        <v>3</v>
      </c>
      <c r="AT12" s="1"/>
      <c r="AU12" s="1"/>
      <c r="AV12" s="1"/>
      <c r="AW12" s="1"/>
      <c r="AX12" s="1"/>
      <c r="AY12" s="1"/>
      <c r="AZ12" s="1"/>
      <c r="BA12" s="1"/>
      <c r="BB12" s="1">
        <v>0</v>
      </c>
      <c r="BC12" s="1"/>
      <c r="BD12" s="1"/>
      <c r="BE12" s="1"/>
      <c r="BF12" s="1"/>
      <c r="BG12" s="1"/>
      <c r="BH12" s="1" t="s">
        <v>5</v>
      </c>
      <c r="BI12" s="1" t="s">
        <v>6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1</v>
      </c>
      <c r="BU12" s="1">
        <v>0</v>
      </c>
      <c r="BV12" s="1">
        <v>1</v>
      </c>
      <c r="BW12" s="1">
        <v>0</v>
      </c>
      <c r="BX12" s="1">
        <v>0</v>
      </c>
      <c r="BY12" s="1" t="s">
        <v>7</v>
      </c>
      <c r="BZ12" s="1" t="s">
        <v>8</v>
      </c>
      <c r="CA12" s="1" t="s">
        <v>9</v>
      </c>
      <c r="CB12" s="1" t="s">
        <v>9</v>
      </c>
      <c r="CC12" s="1" t="s">
        <v>9</v>
      </c>
      <c r="CD12" s="1" t="s">
        <v>9</v>
      </c>
      <c r="CE12" s="1" t="s">
        <v>10</v>
      </c>
      <c r="CF12" s="1">
        <v>0</v>
      </c>
      <c r="CG12" s="1">
        <v>0</v>
      </c>
      <c r="CH12" s="1">
        <v>16777226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1</v>
      </c>
      <c r="C14" s="1">
        <v>0</v>
      </c>
      <c r="D14" s="1">
        <v>1471718271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6">
        <v>3</v>
      </c>
      <c r="B16" s="6">
        <v>0</v>
      </c>
      <c r="C16" s="6" t="s">
        <v>11</v>
      </c>
      <c r="D16" s="6" t="s">
        <v>11</v>
      </c>
      <c r="E16" s="7">
        <f>ROUND((Source!F762)/1000,2)</f>
        <v>0</v>
      </c>
      <c r="F16" s="7">
        <f>ROUND((Source!F763)/1000,2)</f>
        <v>0</v>
      </c>
      <c r="G16" s="7">
        <f>ROUND((Source!F754)/1000,2)</f>
        <v>0</v>
      </c>
      <c r="H16" s="7">
        <f>ROUND((Source!F764)/1000+(Source!F765)/1000,2)</f>
        <v>3011.36</v>
      </c>
      <c r="I16" s="7">
        <f>E16+F16+G16+H16</f>
        <v>3011.36</v>
      </c>
      <c r="J16" s="7">
        <f>ROUND((Source!F760+Source!F759)/1000,2)</f>
        <v>1639.69</v>
      </c>
      <c r="AI16" s="6">
        <v>0</v>
      </c>
      <c r="AJ16" s="6">
        <v>0</v>
      </c>
      <c r="AK16" s="6" t="s">
        <v>3</v>
      </c>
      <c r="AL16" s="6" t="s">
        <v>3</v>
      </c>
      <c r="AM16" s="6" t="s">
        <v>3</v>
      </c>
      <c r="AN16" s="6">
        <v>0</v>
      </c>
      <c r="AO16" s="6" t="s">
        <v>3</v>
      </c>
      <c r="AP16" s="6" t="s">
        <v>3</v>
      </c>
      <c r="AT16" s="7">
        <v>0</v>
      </c>
      <c r="AU16" s="7">
        <v>0</v>
      </c>
      <c r="AV16" s="7">
        <v>0</v>
      </c>
      <c r="AW16" s="7">
        <v>0</v>
      </c>
      <c r="AX16" s="7">
        <v>0</v>
      </c>
      <c r="AY16" s="7">
        <v>0</v>
      </c>
      <c r="AZ16" s="7">
        <v>0</v>
      </c>
      <c r="BA16" s="7">
        <v>0</v>
      </c>
      <c r="BB16" s="7">
        <v>0</v>
      </c>
      <c r="BC16" s="7">
        <v>0</v>
      </c>
      <c r="BD16" s="7">
        <v>0</v>
      </c>
      <c r="BE16" s="7">
        <v>0</v>
      </c>
      <c r="BF16" s="7">
        <v>0</v>
      </c>
      <c r="BG16" s="7">
        <v>0</v>
      </c>
      <c r="BH16" s="7">
        <v>0</v>
      </c>
      <c r="BI16" s="7">
        <v>0</v>
      </c>
      <c r="BJ16" s="7">
        <v>0</v>
      </c>
      <c r="BK16" s="7">
        <v>0</v>
      </c>
    </row>
    <row r="18" spans="1:19" x14ac:dyDescent="0.2">
      <c r="A18">
        <v>51</v>
      </c>
      <c r="E18" s="5">
        <f>SUMIF(A16:A17,3,E16:E17)</f>
        <v>0</v>
      </c>
      <c r="F18" s="5">
        <f>SUMIF(A16:A17,3,F16:F17)</f>
        <v>0</v>
      </c>
      <c r="G18" s="5">
        <f>SUMIF(A16:A17,3,G16:G17)</f>
        <v>0</v>
      </c>
      <c r="H18" s="5">
        <f>SUMIF(A16:A17,3,H16:H17)</f>
        <v>3011.36</v>
      </c>
      <c r="I18" s="5">
        <f>SUMIF(A16:A17,3,I16:I17)</f>
        <v>3011.36</v>
      </c>
      <c r="J18" s="5">
        <f>SUMIF(A16:A17,3,J16:J17)</f>
        <v>1639.69</v>
      </c>
      <c r="K18" s="5"/>
      <c r="L18" s="5"/>
      <c r="M18" s="5"/>
      <c r="N18" s="5"/>
      <c r="O18" s="5"/>
      <c r="P18" s="5"/>
      <c r="Q18" s="5"/>
      <c r="R18" s="5"/>
      <c r="S18" s="5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0</v>
      </c>
      <c r="G20" s="4" t="s">
        <v>98</v>
      </c>
      <c r="H20" s="4" t="s">
        <v>99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0</v>
      </c>
      <c r="G21" s="4" t="s">
        <v>100</v>
      </c>
      <c r="H21" s="4" t="s">
        <v>101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102</v>
      </c>
      <c r="H22" s="4" t="s">
        <v>103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0</v>
      </c>
      <c r="G23" s="4" t="s">
        <v>104</v>
      </c>
      <c r="H23" s="4" t="s">
        <v>105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0</v>
      </c>
      <c r="G24" s="4" t="s">
        <v>106</v>
      </c>
      <c r="H24" s="4" t="s">
        <v>107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108</v>
      </c>
      <c r="H25" s="4" t="s">
        <v>109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0</v>
      </c>
      <c r="G26" s="4" t="s">
        <v>110</v>
      </c>
      <c r="H26" s="4" t="s">
        <v>111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112</v>
      </c>
      <c r="H27" s="4" t="s">
        <v>113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114</v>
      </c>
      <c r="H28" s="4" t="s">
        <v>115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116</v>
      </c>
      <c r="H29" s="4" t="s">
        <v>117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0</v>
      </c>
      <c r="G30" s="4" t="s">
        <v>118</v>
      </c>
      <c r="H30" s="4" t="s">
        <v>119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120</v>
      </c>
      <c r="H31" s="4" t="s">
        <v>121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0</v>
      </c>
      <c r="G32" s="4" t="s">
        <v>122</v>
      </c>
      <c r="H32" s="4" t="s">
        <v>123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0</v>
      </c>
      <c r="G33" s="4" t="s">
        <v>124</v>
      </c>
      <c r="H33" s="4" t="s">
        <v>125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126</v>
      </c>
      <c r="H34" s="4" t="s">
        <v>127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0</v>
      </c>
      <c r="G35" s="4" t="s">
        <v>128</v>
      </c>
      <c r="H35" s="4" t="s">
        <v>129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0</v>
      </c>
      <c r="G36" s="4" t="s">
        <v>130</v>
      </c>
      <c r="H36" s="4" t="s">
        <v>131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0</v>
      </c>
      <c r="G37" s="4" t="s">
        <v>132</v>
      </c>
      <c r="H37" s="4" t="s">
        <v>133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134</v>
      </c>
      <c r="H38" s="4" t="s">
        <v>135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136</v>
      </c>
      <c r="H39" s="4" t="s">
        <v>137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0</v>
      </c>
      <c r="G40" s="4" t="s">
        <v>138</v>
      </c>
      <c r="H40" s="4" t="s">
        <v>139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0</v>
      </c>
      <c r="G41" s="4" t="s">
        <v>140</v>
      </c>
      <c r="H41" s="4" t="s">
        <v>141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142</v>
      </c>
      <c r="H42" s="4" t="s">
        <v>143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144</v>
      </c>
      <c r="H43" s="4" t="s">
        <v>145</v>
      </c>
      <c r="I43" s="4"/>
      <c r="J43" s="4"/>
      <c r="K43" s="4">
        <v>233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0</v>
      </c>
      <c r="G44" s="4" t="s">
        <v>146</v>
      </c>
      <c r="H44" s="4" t="s">
        <v>147</v>
      </c>
      <c r="I44" s="4"/>
      <c r="J44" s="4"/>
      <c r="K44" s="4">
        <v>210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0</v>
      </c>
      <c r="G45" s="4" t="s">
        <v>148</v>
      </c>
      <c r="H45" s="4" t="s">
        <v>149</v>
      </c>
      <c r="I45" s="4"/>
      <c r="J45" s="4"/>
      <c r="K45" s="4">
        <v>211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0</v>
      </c>
      <c r="G46" s="4" t="s">
        <v>150</v>
      </c>
      <c r="H46" s="4" t="s">
        <v>151</v>
      </c>
      <c r="I46" s="4"/>
      <c r="J46" s="4"/>
      <c r="K46" s="4">
        <v>224</v>
      </c>
      <c r="L46" s="4">
        <v>27</v>
      </c>
      <c r="M46" s="4">
        <v>3</v>
      </c>
      <c r="N46" s="4" t="s">
        <v>3</v>
      </c>
      <c r="O46" s="4">
        <v>2</v>
      </c>
      <c r="P46" s="4"/>
    </row>
    <row r="47" spans="1:16" x14ac:dyDescent="0.2">
      <c r="A47" s="4">
        <v>50</v>
      </c>
      <c r="B47" s="4">
        <v>1</v>
      </c>
      <c r="C47" s="4">
        <v>0</v>
      </c>
      <c r="D47" s="4">
        <v>2</v>
      </c>
      <c r="E47" s="4">
        <v>0</v>
      </c>
      <c r="F47" s="4">
        <v>0</v>
      </c>
      <c r="G47" s="4" t="s">
        <v>391</v>
      </c>
      <c r="H47" s="4" t="s">
        <v>392</v>
      </c>
      <c r="I47" s="4"/>
      <c r="J47" s="4"/>
      <c r="K47" s="4">
        <v>212</v>
      </c>
      <c r="L47" s="4">
        <v>28</v>
      </c>
      <c r="M47" s="4">
        <v>0</v>
      </c>
      <c r="N47" s="4" t="s">
        <v>3</v>
      </c>
      <c r="O47" s="4">
        <v>2</v>
      </c>
      <c r="P47" s="4"/>
    </row>
    <row r="48" spans="1:16" x14ac:dyDescent="0.2">
      <c r="A48" s="4">
        <v>50</v>
      </c>
      <c r="B48" s="4">
        <v>1</v>
      </c>
      <c r="C48" s="4">
        <v>0</v>
      </c>
      <c r="D48" s="4">
        <v>2</v>
      </c>
      <c r="E48" s="4">
        <v>0</v>
      </c>
      <c r="F48" s="4">
        <v>0</v>
      </c>
      <c r="G48" s="4" t="s">
        <v>393</v>
      </c>
      <c r="H48" s="4" t="s">
        <v>394</v>
      </c>
      <c r="I48" s="4"/>
      <c r="J48" s="4"/>
      <c r="K48" s="4">
        <v>212</v>
      </c>
      <c r="L48" s="4">
        <v>29</v>
      </c>
      <c r="M48" s="4">
        <v>0</v>
      </c>
      <c r="N48" s="4" t="s">
        <v>3</v>
      </c>
      <c r="O48" s="4">
        <v>2</v>
      </c>
      <c r="P48" s="4"/>
    </row>
    <row r="49" spans="1:16" x14ac:dyDescent="0.2">
      <c r="A49" s="4">
        <v>50</v>
      </c>
      <c r="B49" s="4">
        <v>1</v>
      </c>
      <c r="C49" s="4">
        <v>0</v>
      </c>
      <c r="D49" s="4">
        <v>2</v>
      </c>
      <c r="E49" s="4">
        <v>0</v>
      </c>
      <c r="F49" s="4">
        <v>0</v>
      </c>
      <c r="G49" s="4" t="s">
        <v>395</v>
      </c>
      <c r="H49" s="4" t="s">
        <v>396</v>
      </c>
      <c r="I49" s="4"/>
      <c r="J49" s="4"/>
      <c r="K49" s="4">
        <v>212</v>
      </c>
      <c r="L49" s="4">
        <v>30</v>
      </c>
      <c r="M49" s="4">
        <v>0</v>
      </c>
      <c r="N49" s="4" t="s">
        <v>3</v>
      </c>
      <c r="O49" s="4">
        <v>2</v>
      </c>
      <c r="P49" s="4"/>
    </row>
    <row r="51" spans="1:16" x14ac:dyDescent="0.2">
      <c r="A51">
        <v>-1</v>
      </c>
    </row>
    <row r="54" spans="1:16" x14ac:dyDescent="0.2">
      <c r="A54" s="3">
        <v>75</v>
      </c>
      <c r="B54" s="3" t="s">
        <v>399</v>
      </c>
      <c r="C54" s="3">
        <v>2025</v>
      </c>
      <c r="D54" s="3">
        <v>0</v>
      </c>
      <c r="E54" s="3">
        <v>10</v>
      </c>
      <c r="F54" s="3">
        <v>0</v>
      </c>
      <c r="G54" s="3">
        <v>0</v>
      </c>
      <c r="H54" s="3">
        <v>1</v>
      </c>
      <c r="I54" s="3">
        <v>0</v>
      </c>
      <c r="J54" s="3">
        <v>1</v>
      </c>
      <c r="K54" s="3">
        <v>78</v>
      </c>
      <c r="L54" s="3">
        <v>30</v>
      </c>
      <c r="M54" s="3">
        <v>0</v>
      </c>
      <c r="N54" s="3">
        <v>1471718271</v>
      </c>
      <c r="O54" s="3">
        <v>1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ColWidth="9.140625" defaultRowHeight="12.75" x14ac:dyDescent="0.2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R415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ROW(Source!A32)</f>
        <v>32</v>
      </c>
      <c r="B1">
        <v>1471738889</v>
      </c>
      <c r="C1">
        <v>1471663184</v>
      </c>
      <c r="D1">
        <v>1441819193</v>
      </c>
      <c r="E1">
        <v>15514512</v>
      </c>
      <c r="F1">
        <v>1</v>
      </c>
      <c r="G1">
        <v>15514512</v>
      </c>
      <c r="H1">
        <v>1</v>
      </c>
      <c r="I1" t="s">
        <v>401</v>
      </c>
      <c r="J1" t="s">
        <v>3</v>
      </c>
      <c r="K1" t="s">
        <v>402</v>
      </c>
      <c r="L1">
        <v>1191</v>
      </c>
      <c r="N1">
        <v>1013</v>
      </c>
      <c r="O1" t="s">
        <v>403</v>
      </c>
      <c r="P1" t="s">
        <v>403</v>
      </c>
      <c r="Q1">
        <v>1</v>
      </c>
      <c r="X1">
        <v>0.9</v>
      </c>
      <c r="Y1">
        <v>0</v>
      </c>
      <c r="Z1">
        <v>0</v>
      </c>
      <c r="AA1">
        <v>0</v>
      </c>
      <c r="AB1">
        <v>0</v>
      </c>
      <c r="AC1">
        <v>0</v>
      </c>
      <c r="AD1">
        <v>1</v>
      </c>
      <c r="AE1">
        <v>1</v>
      </c>
      <c r="AF1" t="s">
        <v>20</v>
      </c>
      <c r="AG1">
        <v>3.6</v>
      </c>
      <c r="AH1">
        <v>3</v>
      </c>
      <c r="AI1">
        <v>-1</v>
      </c>
      <c r="AJ1" t="s">
        <v>3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ROW(Source!A33)</f>
        <v>33</v>
      </c>
      <c r="B2">
        <v>1471738890</v>
      </c>
      <c r="C2">
        <v>1471663188</v>
      </c>
      <c r="D2">
        <v>1441819193</v>
      </c>
      <c r="E2">
        <v>15514512</v>
      </c>
      <c r="F2">
        <v>1</v>
      </c>
      <c r="G2">
        <v>15514512</v>
      </c>
      <c r="H2">
        <v>1</v>
      </c>
      <c r="I2" t="s">
        <v>401</v>
      </c>
      <c r="J2" t="s">
        <v>3</v>
      </c>
      <c r="K2" t="s">
        <v>402</v>
      </c>
      <c r="L2">
        <v>1191</v>
      </c>
      <c r="N2">
        <v>1013</v>
      </c>
      <c r="O2" t="s">
        <v>403</v>
      </c>
      <c r="P2" t="s">
        <v>403</v>
      </c>
      <c r="Q2">
        <v>1</v>
      </c>
      <c r="X2">
        <v>2.64</v>
      </c>
      <c r="Y2">
        <v>0</v>
      </c>
      <c r="Z2">
        <v>0</v>
      </c>
      <c r="AA2">
        <v>0</v>
      </c>
      <c r="AB2">
        <v>0</v>
      </c>
      <c r="AC2">
        <v>0</v>
      </c>
      <c r="AD2">
        <v>1</v>
      </c>
      <c r="AE2">
        <v>1</v>
      </c>
      <c r="AF2" t="s">
        <v>27</v>
      </c>
      <c r="AG2">
        <v>21.12</v>
      </c>
      <c r="AH2">
        <v>3</v>
      </c>
      <c r="AI2">
        <v>-1</v>
      </c>
      <c r="AJ2" t="s">
        <v>3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ROW(Source!A34)</f>
        <v>34</v>
      </c>
      <c r="B3">
        <v>1471738891</v>
      </c>
      <c r="C3">
        <v>1471663192</v>
      </c>
      <c r="D3">
        <v>1441819193</v>
      </c>
      <c r="E3">
        <v>15514512</v>
      </c>
      <c r="F3">
        <v>1</v>
      </c>
      <c r="G3">
        <v>15514512</v>
      </c>
      <c r="H3">
        <v>1</v>
      </c>
      <c r="I3" t="s">
        <v>401</v>
      </c>
      <c r="J3" t="s">
        <v>3</v>
      </c>
      <c r="K3" t="s">
        <v>402</v>
      </c>
      <c r="L3">
        <v>1191</v>
      </c>
      <c r="N3">
        <v>1013</v>
      </c>
      <c r="O3" t="s">
        <v>403</v>
      </c>
      <c r="P3" t="s">
        <v>403</v>
      </c>
      <c r="Q3">
        <v>1</v>
      </c>
      <c r="X3">
        <v>0.45</v>
      </c>
      <c r="Y3">
        <v>0</v>
      </c>
      <c r="Z3">
        <v>0</v>
      </c>
      <c r="AA3">
        <v>0</v>
      </c>
      <c r="AB3">
        <v>0</v>
      </c>
      <c r="AC3">
        <v>0</v>
      </c>
      <c r="AD3">
        <v>1</v>
      </c>
      <c r="AE3">
        <v>1</v>
      </c>
      <c r="AF3" t="s">
        <v>3</v>
      </c>
      <c r="AG3">
        <v>0.45</v>
      </c>
      <c r="AH3">
        <v>3</v>
      </c>
      <c r="AI3">
        <v>-1</v>
      </c>
      <c r="AJ3" t="s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ROW(Source!A35)</f>
        <v>35</v>
      </c>
      <c r="B4">
        <v>1471738892</v>
      </c>
      <c r="C4">
        <v>1471663196</v>
      </c>
      <c r="D4">
        <v>1441819193</v>
      </c>
      <c r="E4">
        <v>15514512</v>
      </c>
      <c r="F4">
        <v>1</v>
      </c>
      <c r="G4">
        <v>15514512</v>
      </c>
      <c r="H4">
        <v>1</v>
      </c>
      <c r="I4" t="s">
        <v>401</v>
      </c>
      <c r="J4" t="s">
        <v>3</v>
      </c>
      <c r="K4" t="s">
        <v>402</v>
      </c>
      <c r="L4">
        <v>1191</v>
      </c>
      <c r="N4">
        <v>1013</v>
      </c>
      <c r="O4" t="s">
        <v>403</v>
      </c>
      <c r="P4" t="s">
        <v>403</v>
      </c>
      <c r="Q4">
        <v>1</v>
      </c>
      <c r="X4">
        <v>1.75</v>
      </c>
      <c r="Y4">
        <v>0</v>
      </c>
      <c r="Z4">
        <v>0</v>
      </c>
      <c r="AA4">
        <v>0</v>
      </c>
      <c r="AB4">
        <v>0</v>
      </c>
      <c r="AC4">
        <v>0</v>
      </c>
      <c r="AD4">
        <v>1</v>
      </c>
      <c r="AE4">
        <v>1</v>
      </c>
      <c r="AF4" t="s">
        <v>3</v>
      </c>
      <c r="AG4">
        <v>1.75</v>
      </c>
      <c r="AH4">
        <v>3</v>
      </c>
      <c r="AI4">
        <v>-1</v>
      </c>
      <c r="AJ4" t="s">
        <v>3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ROW(Source!A35)</f>
        <v>35</v>
      </c>
      <c r="B5">
        <v>1471738893</v>
      </c>
      <c r="C5">
        <v>1471663196</v>
      </c>
      <c r="D5">
        <v>1441834258</v>
      </c>
      <c r="E5">
        <v>1</v>
      </c>
      <c r="F5">
        <v>1</v>
      </c>
      <c r="G5">
        <v>15514512</v>
      </c>
      <c r="H5">
        <v>2</v>
      </c>
      <c r="I5" t="s">
        <v>404</v>
      </c>
      <c r="J5" t="s">
        <v>405</v>
      </c>
      <c r="K5" t="s">
        <v>406</v>
      </c>
      <c r="L5">
        <v>1368</v>
      </c>
      <c r="N5">
        <v>1011</v>
      </c>
      <c r="O5" t="s">
        <v>407</v>
      </c>
      <c r="P5" t="s">
        <v>407</v>
      </c>
      <c r="Q5">
        <v>1</v>
      </c>
      <c r="X5">
        <v>1.083</v>
      </c>
      <c r="Y5">
        <v>0</v>
      </c>
      <c r="Z5">
        <v>1303.01</v>
      </c>
      <c r="AA5">
        <v>826.2</v>
      </c>
      <c r="AB5">
        <v>0</v>
      </c>
      <c r="AC5">
        <v>0</v>
      </c>
      <c r="AD5">
        <v>1</v>
      </c>
      <c r="AE5">
        <v>0</v>
      </c>
      <c r="AF5" t="s">
        <v>3</v>
      </c>
      <c r="AG5">
        <v>1.083</v>
      </c>
      <c r="AH5">
        <v>3</v>
      </c>
      <c r="AI5">
        <v>-1</v>
      </c>
      <c r="AJ5" t="s">
        <v>3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ROW(Source!A35)</f>
        <v>35</v>
      </c>
      <c r="B6">
        <v>1471738894</v>
      </c>
      <c r="C6">
        <v>1471663196</v>
      </c>
      <c r="D6">
        <v>1441836235</v>
      </c>
      <c r="E6">
        <v>1</v>
      </c>
      <c r="F6">
        <v>1</v>
      </c>
      <c r="G6">
        <v>15514512</v>
      </c>
      <c r="H6">
        <v>3</v>
      </c>
      <c r="I6" t="s">
        <v>408</v>
      </c>
      <c r="J6" t="s">
        <v>409</v>
      </c>
      <c r="K6" t="s">
        <v>410</v>
      </c>
      <c r="L6">
        <v>1346</v>
      </c>
      <c r="N6">
        <v>1009</v>
      </c>
      <c r="O6" t="s">
        <v>411</v>
      </c>
      <c r="P6" t="s">
        <v>411</v>
      </c>
      <c r="Q6">
        <v>1</v>
      </c>
      <c r="X6">
        <v>0.02</v>
      </c>
      <c r="Y6">
        <v>31.49</v>
      </c>
      <c r="Z6">
        <v>0</v>
      </c>
      <c r="AA6">
        <v>0</v>
      </c>
      <c r="AB6">
        <v>0</v>
      </c>
      <c r="AC6">
        <v>0</v>
      </c>
      <c r="AD6">
        <v>1</v>
      </c>
      <c r="AE6">
        <v>0</v>
      </c>
      <c r="AF6" t="s">
        <v>3</v>
      </c>
      <c r="AG6">
        <v>0.02</v>
      </c>
      <c r="AH6">
        <v>3</v>
      </c>
      <c r="AI6">
        <v>-1</v>
      </c>
      <c r="AJ6" t="s">
        <v>3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ROW(Source!A36)</f>
        <v>36</v>
      </c>
      <c r="B7">
        <v>1471738896</v>
      </c>
      <c r="C7">
        <v>1471663206</v>
      </c>
      <c r="D7">
        <v>1441819193</v>
      </c>
      <c r="E7">
        <v>15514512</v>
      </c>
      <c r="F7">
        <v>1</v>
      </c>
      <c r="G7">
        <v>15514512</v>
      </c>
      <c r="H7">
        <v>1</v>
      </c>
      <c r="I7" t="s">
        <v>401</v>
      </c>
      <c r="J7" t="s">
        <v>3</v>
      </c>
      <c r="K7" t="s">
        <v>402</v>
      </c>
      <c r="L7">
        <v>1191</v>
      </c>
      <c r="N7">
        <v>1013</v>
      </c>
      <c r="O7" t="s">
        <v>403</v>
      </c>
      <c r="P7" t="s">
        <v>403</v>
      </c>
      <c r="Q7">
        <v>1</v>
      </c>
      <c r="X7">
        <v>0.37</v>
      </c>
      <c r="Y7">
        <v>0</v>
      </c>
      <c r="Z7">
        <v>0</v>
      </c>
      <c r="AA7">
        <v>0</v>
      </c>
      <c r="AB7">
        <v>0</v>
      </c>
      <c r="AC7">
        <v>0</v>
      </c>
      <c r="AD7">
        <v>1</v>
      </c>
      <c r="AE7">
        <v>1</v>
      </c>
      <c r="AF7" t="s">
        <v>42</v>
      </c>
      <c r="AG7">
        <v>0.74</v>
      </c>
      <c r="AH7">
        <v>3</v>
      </c>
      <c r="AI7">
        <v>-1</v>
      </c>
      <c r="AJ7" t="s">
        <v>3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ROW(Source!A36)</f>
        <v>36</v>
      </c>
      <c r="B8">
        <v>1471738897</v>
      </c>
      <c r="C8">
        <v>1471663206</v>
      </c>
      <c r="D8">
        <v>1441834258</v>
      </c>
      <c r="E8">
        <v>1</v>
      </c>
      <c r="F8">
        <v>1</v>
      </c>
      <c r="G8">
        <v>15514512</v>
      </c>
      <c r="H8">
        <v>2</v>
      </c>
      <c r="I8" t="s">
        <v>404</v>
      </c>
      <c r="J8" t="s">
        <v>405</v>
      </c>
      <c r="K8" t="s">
        <v>406</v>
      </c>
      <c r="L8">
        <v>1368</v>
      </c>
      <c r="N8">
        <v>1011</v>
      </c>
      <c r="O8" t="s">
        <v>407</v>
      </c>
      <c r="P8" t="s">
        <v>407</v>
      </c>
      <c r="Q8">
        <v>1</v>
      </c>
      <c r="X8">
        <v>0.06</v>
      </c>
      <c r="Y8">
        <v>0</v>
      </c>
      <c r="Z8">
        <v>1303.01</v>
      </c>
      <c r="AA8">
        <v>826.2</v>
      </c>
      <c r="AB8">
        <v>0</v>
      </c>
      <c r="AC8">
        <v>0</v>
      </c>
      <c r="AD8">
        <v>1</v>
      </c>
      <c r="AE8">
        <v>0</v>
      </c>
      <c r="AF8" t="s">
        <v>42</v>
      </c>
      <c r="AG8">
        <v>0.12</v>
      </c>
      <c r="AH8">
        <v>3</v>
      </c>
      <c r="AI8">
        <v>-1</v>
      </c>
      <c r="AJ8" t="s">
        <v>3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ROW(Source!A37)</f>
        <v>37</v>
      </c>
      <c r="B9">
        <v>1471738898</v>
      </c>
      <c r="C9">
        <v>1471663213</v>
      </c>
      <c r="D9">
        <v>1441819193</v>
      </c>
      <c r="E9">
        <v>15514512</v>
      </c>
      <c r="F9">
        <v>1</v>
      </c>
      <c r="G9">
        <v>15514512</v>
      </c>
      <c r="H9">
        <v>1</v>
      </c>
      <c r="I9" t="s">
        <v>401</v>
      </c>
      <c r="J9" t="s">
        <v>3</v>
      </c>
      <c r="K9" t="s">
        <v>402</v>
      </c>
      <c r="L9">
        <v>1191</v>
      </c>
      <c r="N9">
        <v>1013</v>
      </c>
      <c r="O9" t="s">
        <v>403</v>
      </c>
      <c r="P9" t="s">
        <v>403</v>
      </c>
      <c r="Q9">
        <v>1</v>
      </c>
      <c r="X9">
        <v>1.26</v>
      </c>
      <c r="Y9">
        <v>0</v>
      </c>
      <c r="Z9">
        <v>0</v>
      </c>
      <c r="AA9">
        <v>0</v>
      </c>
      <c r="AB9">
        <v>0</v>
      </c>
      <c r="AC9">
        <v>0</v>
      </c>
      <c r="AD9">
        <v>1</v>
      </c>
      <c r="AE9">
        <v>1</v>
      </c>
      <c r="AF9" t="s">
        <v>46</v>
      </c>
      <c r="AG9">
        <v>21.42</v>
      </c>
      <c r="AH9">
        <v>3</v>
      </c>
      <c r="AI9">
        <v>-1</v>
      </c>
      <c r="AJ9" t="s">
        <v>3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ROW(Source!A38)</f>
        <v>38</v>
      </c>
      <c r="B10">
        <v>1471738899</v>
      </c>
      <c r="C10">
        <v>1471663217</v>
      </c>
      <c r="D10">
        <v>1441819193</v>
      </c>
      <c r="E10">
        <v>15514512</v>
      </c>
      <c r="F10">
        <v>1</v>
      </c>
      <c r="G10">
        <v>15514512</v>
      </c>
      <c r="H10">
        <v>1</v>
      </c>
      <c r="I10" t="s">
        <v>401</v>
      </c>
      <c r="J10" t="s">
        <v>3</v>
      </c>
      <c r="K10" t="s">
        <v>402</v>
      </c>
      <c r="L10">
        <v>1191</v>
      </c>
      <c r="N10">
        <v>1013</v>
      </c>
      <c r="O10" t="s">
        <v>403</v>
      </c>
      <c r="P10" t="s">
        <v>403</v>
      </c>
      <c r="Q10">
        <v>1</v>
      </c>
      <c r="X10">
        <v>0.27</v>
      </c>
      <c r="Y10">
        <v>0</v>
      </c>
      <c r="Z10">
        <v>0</v>
      </c>
      <c r="AA10">
        <v>0</v>
      </c>
      <c r="AB10">
        <v>0</v>
      </c>
      <c r="AC10">
        <v>0</v>
      </c>
      <c r="AD10">
        <v>1</v>
      </c>
      <c r="AE10">
        <v>1</v>
      </c>
      <c r="AF10" t="s">
        <v>46</v>
      </c>
      <c r="AG10">
        <v>4.59</v>
      </c>
      <c r="AH10">
        <v>3</v>
      </c>
      <c r="AI10">
        <v>-1</v>
      </c>
      <c r="AJ10" t="s">
        <v>3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ROW(Source!A39)</f>
        <v>39</v>
      </c>
      <c r="B11">
        <v>1471738900</v>
      </c>
      <c r="C11">
        <v>1471663221</v>
      </c>
      <c r="D11">
        <v>1441819193</v>
      </c>
      <c r="E11">
        <v>15514512</v>
      </c>
      <c r="F11">
        <v>1</v>
      </c>
      <c r="G11">
        <v>15514512</v>
      </c>
      <c r="H11">
        <v>1</v>
      </c>
      <c r="I11" t="s">
        <v>401</v>
      </c>
      <c r="J11" t="s">
        <v>3</v>
      </c>
      <c r="K11" t="s">
        <v>402</v>
      </c>
      <c r="L11">
        <v>1191</v>
      </c>
      <c r="N11">
        <v>1013</v>
      </c>
      <c r="O11" t="s">
        <v>403</v>
      </c>
      <c r="P11" t="s">
        <v>403</v>
      </c>
      <c r="Q11">
        <v>1</v>
      </c>
      <c r="X11">
        <v>104.44</v>
      </c>
      <c r="Y11">
        <v>0</v>
      </c>
      <c r="Z11">
        <v>0</v>
      </c>
      <c r="AA11">
        <v>0</v>
      </c>
      <c r="AB11">
        <v>0</v>
      </c>
      <c r="AC11">
        <v>0</v>
      </c>
      <c r="AD11">
        <v>1</v>
      </c>
      <c r="AE11">
        <v>1</v>
      </c>
      <c r="AF11" t="s">
        <v>3</v>
      </c>
      <c r="AG11">
        <v>104.44</v>
      </c>
      <c r="AH11">
        <v>3</v>
      </c>
      <c r="AI11">
        <v>-1</v>
      </c>
      <c r="AJ11" t="s">
        <v>3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ROW(Source!A39)</f>
        <v>39</v>
      </c>
      <c r="B12">
        <v>1471738901</v>
      </c>
      <c r="C12">
        <v>1471663221</v>
      </c>
      <c r="D12">
        <v>1441834334</v>
      </c>
      <c r="E12">
        <v>1</v>
      </c>
      <c r="F12">
        <v>1</v>
      </c>
      <c r="G12">
        <v>15514512</v>
      </c>
      <c r="H12">
        <v>2</v>
      </c>
      <c r="I12" t="s">
        <v>412</v>
      </c>
      <c r="J12" t="s">
        <v>413</v>
      </c>
      <c r="K12" t="s">
        <v>414</v>
      </c>
      <c r="L12">
        <v>1368</v>
      </c>
      <c r="N12">
        <v>1011</v>
      </c>
      <c r="O12" t="s">
        <v>407</v>
      </c>
      <c r="P12" t="s">
        <v>407</v>
      </c>
      <c r="Q12">
        <v>1</v>
      </c>
      <c r="X12">
        <v>5.8</v>
      </c>
      <c r="Y12">
        <v>0</v>
      </c>
      <c r="Z12">
        <v>10.66</v>
      </c>
      <c r="AA12">
        <v>0.12</v>
      </c>
      <c r="AB12">
        <v>0</v>
      </c>
      <c r="AC12">
        <v>0</v>
      </c>
      <c r="AD12">
        <v>1</v>
      </c>
      <c r="AE12">
        <v>0</v>
      </c>
      <c r="AF12" t="s">
        <v>3</v>
      </c>
      <c r="AG12">
        <v>5.8</v>
      </c>
      <c r="AH12">
        <v>3</v>
      </c>
      <c r="AI12">
        <v>-1</v>
      </c>
      <c r="AJ12" t="s">
        <v>3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ROW(Source!A39)</f>
        <v>39</v>
      </c>
      <c r="B13">
        <v>1471738903</v>
      </c>
      <c r="C13">
        <v>1471663221</v>
      </c>
      <c r="D13">
        <v>1441834443</v>
      </c>
      <c r="E13">
        <v>1</v>
      </c>
      <c r="F13">
        <v>1</v>
      </c>
      <c r="G13">
        <v>15514512</v>
      </c>
      <c r="H13">
        <v>3</v>
      </c>
      <c r="I13" t="s">
        <v>415</v>
      </c>
      <c r="J13" t="s">
        <v>416</v>
      </c>
      <c r="K13" t="s">
        <v>417</v>
      </c>
      <c r="L13">
        <v>1296</v>
      </c>
      <c r="N13">
        <v>1002</v>
      </c>
      <c r="O13" t="s">
        <v>418</v>
      </c>
      <c r="P13" t="s">
        <v>418</v>
      </c>
      <c r="Q13">
        <v>1</v>
      </c>
      <c r="X13">
        <v>0.31</v>
      </c>
      <c r="Y13">
        <v>785.72</v>
      </c>
      <c r="Z13">
        <v>0</v>
      </c>
      <c r="AA13">
        <v>0</v>
      </c>
      <c r="AB13">
        <v>0</v>
      </c>
      <c r="AC13">
        <v>0</v>
      </c>
      <c r="AD13">
        <v>1</v>
      </c>
      <c r="AE13">
        <v>0</v>
      </c>
      <c r="AF13" t="s">
        <v>3</v>
      </c>
      <c r="AG13">
        <v>0.31</v>
      </c>
      <c r="AH13">
        <v>3</v>
      </c>
      <c r="AI13">
        <v>-1</v>
      </c>
      <c r="AJ13" t="s">
        <v>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ROW(Source!A39)</f>
        <v>39</v>
      </c>
      <c r="B14">
        <v>1471738904</v>
      </c>
      <c r="C14">
        <v>1471663221</v>
      </c>
      <c r="D14">
        <v>1441821225</v>
      </c>
      <c r="E14">
        <v>15514512</v>
      </c>
      <c r="F14">
        <v>1</v>
      </c>
      <c r="G14">
        <v>15514512</v>
      </c>
      <c r="H14">
        <v>3</v>
      </c>
      <c r="I14" t="s">
        <v>419</v>
      </c>
      <c r="J14" t="s">
        <v>3</v>
      </c>
      <c r="K14" t="s">
        <v>420</v>
      </c>
      <c r="L14">
        <v>1346</v>
      </c>
      <c r="N14">
        <v>1009</v>
      </c>
      <c r="O14" t="s">
        <v>411</v>
      </c>
      <c r="P14" t="s">
        <v>411</v>
      </c>
      <c r="Q14">
        <v>1</v>
      </c>
      <c r="X14">
        <v>1.08</v>
      </c>
      <c r="Y14">
        <v>292.57515999999998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0</v>
      </c>
      <c r="AF14" t="s">
        <v>3</v>
      </c>
      <c r="AG14">
        <v>1.08</v>
      </c>
      <c r="AH14">
        <v>3</v>
      </c>
      <c r="AI14">
        <v>-1</v>
      </c>
      <c r="AJ14" t="s">
        <v>3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ROW(Source!A39)</f>
        <v>39</v>
      </c>
      <c r="B15">
        <v>1471738902</v>
      </c>
      <c r="C15">
        <v>1471663221</v>
      </c>
      <c r="D15">
        <v>1441821223</v>
      </c>
      <c r="E15">
        <v>15514512</v>
      </c>
      <c r="F15">
        <v>1</v>
      </c>
      <c r="G15">
        <v>15514512</v>
      </c>
      <c r="H15">
        <v>3</v>
      </c>
      <c r="I15" t="s">
        <v>421</v>
      </c>
      <c r="J15" t="s">
        <v>3</v>
      </c>
      <c r="K15" t="s">
        <v>422</v>
      </c>
      <c r="L15">
        <v>1346</v>
      </c>
      <c r="N15">
        <v>1009</v>
      </c>
      <c r="O15" t="s">
        <v>411</v>
      </c>
      <c r="P15" t="s">
        <v>411</v>
      </c>
      <c r="Q15">
        <v>1</v>
      </c>
      <c r="X15">
        <v>0.98</v>
      </c>
      <c r="Y15">
        <v>221.4237</v>
      </c>
      <c r="Z15">
        <v>0</v>
      </c>
      <c r="AA15">
        <v>0</v>
      </c>
      <c r="AB15">
        <v>0</v>
      </c>
      <c r="AC15">
        <v>0</v>
      </c>
      <c r="AD15">
        <v>1</v>
      </c>
      <c r="AE15">
        <v>0</v>
      </c>
      <c r="AF15" t="s">
        <v>3</v>
      </c>
      <c r="AG15">
        <v>0.98</v>
      </c>
      <c r="AH15">
        <v>3</v>
      </c>
      <c r="AI15">
        <v>-1</v>
      </c>
      <c r="AJ15" t="s">
        <v>3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ROW(Source!A40)</f>
        <v>40</v>
      </c>
      <c r="B16">
        <v>1471738905</v>
      </c>
      <c r="C16">
        <v>1471663237</v>
      </c>
      <c r="D16">
        <v>1441819193</v>
      </c>
      <c r="E16">
        <v>15514512</v>
      </c>
      <c r="F16">
        <v>1</v>
      </c>
      <c r="G16">
        <v>15514512</v>
      </c>
      <c r="H16">
        <v>1</v>
      </c>
      <c r="I16" t="s">
        <v>401</v>
      </c>
      <c r="J16" t="s">
        <v>3</v>
      </c>
      <c r="K16" t="s">
        <v>402</v>
      </c>
      <c r="L16">
        <v>1191</v>
      </c>
      <c r="N16">
        <v>1013</v>
      </c>
      <c r="O16" t="s">
        <v>403</v>
      </c>
      <c r="P16" t="s">
        <v>403</v>
      </c>
      <c r="Q16">
        <v>1</v>
      </c>
      <c r="X16">
        <v>151.93</v>
      </c>
      <c r="Y16">
        <v>0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1</v>
      </c>
      <c r="AF16" t="s">
        <v>3</v>
      </c>
      <c r="AG16">
        <v>151.93</v>
      </c>
      <c r="AH16">
        <v>3</v>
      </c>
      <c r="AI16">
        <v>-1</v>
      </c>
      <c r="AJ16" t="s">
        <v>3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ROW(Source!A40)</f>
        <v>40</v>
      </c>
      <c r="B17">
        <v>1471738906</v>
      </c>
      <c r="C17">
        <v>1471663237</v>
      </c>
      <c r="D17">
        <v>1441834334</v>
      </c>
      <c r="E17">
        <v>1</v>
      </c>
      <c r="F17">
        <v>1</v>
      </c>
      <c r="G17">
        <v>15514512</v>
      </c>
      <c r="H17">
        <v>2</v>
      </c>
      <c r="I17" t="s">
        <v>412</v>
      </c>
      <c r="J17" t="s">
        <v>413</v>
      </c>
      <c r="K17" t="s">
        <v>414</v>
      </c>
      <c r="L17">
        <v>1368</v>
      </c>
      <c r="N17">
        <v>1011</v>
      </c>
      <c r="O17" t="s">
        <v>407</v>
      </c>
      <c r="P17" t="s">
        <v>407</v>
      </c>
      <c r="Q17">
        <v>1</v>
      </c>
      <c r="X17">
        <v>5.8</v>
      </c>
      <c r="Y17">
        <v>0</v>
      </c>
      <c r="Z17">
        <v>10.66</v>
      </c>
      <c r="AA17">
        <v>0.12</v>
      </c>
      <c r="AB17">
        <v>0</v>
      </c>
      <c r="AC17">
        <v>0</v>
      </c>
      <c r="AD17">
        <v>1</v>
      </c>
      <c r="AE17">
        <v>0</v>
      </c>
      <c r="AF17" t="s">
        <v>3</v>
      </c>
      <c r="AG17">
        <v>5.8</v>
      </c>
      <c r="AH17">
        <v>3</v>
      </c>
      <c r="AI17">
        <v>-1</v>
      </c>
      <c r="AJ17" t="s">
        <v>3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ROW(Source!A40)</f>
        <v>40</v>
      </c>
      <c r="B18">
        <v>1471738908</v>
      </c>
      <c r="C18">
        <v>1471663237</v>
      </c>
      <c r="D18">
        <v>1441834443</v>
      </c>
      <c r="E18">
        <v>1</v>
      </c>
      <c r="F18">
        <v>1</v>
      </c>
      <c r="G18">
        <v>15514512</v>
      </c>
      <c r="H18">
        <v>3</v>
      </c>
      <c r="I18" t="s">
        <v>415</v>
      </c>
      <c r="J18" t="s">
        <v>416</v>
      </c>
      <c r="K18" t="s">
        <v>417</v>
      </c>
      <c r="L18">
        <v>1296</v>
      </c>
      <c r="N18">
        <v>1002</v>
      </c>
      <c r="O18" t="s">
        <v>418</v>
      </c>
      <c r="P18" t="s">
        <v>418</v>
      </c>
      <c r="Q18">
        <v>1</v>
      </c>
      <c r="X18">
        <v>0.31</v>
      </c>
      <c r="Y18">
        <v>785.72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0</v>
      </c>
      <c r="AF18" t="s">
        <v>3</v>
      </c>
      <c r="AG18">
        <v>0.31</v>
      </c>
      <c r="AH18">
        <v>3</v>
      </c>
      <c r="AI18">
        <v>-1</v>
      </c>
      <c r="AJ18" t="s">
        <v>3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ROW(Source!A40)</f>
        <v>40</v>
      </c>
      <c r="B19">
        <v>1471738909</v>
      </c>
      <c r="C19">
        <v>1471663237</v>
      </c>
      <c r="D19">
        <v>1441821225</v>
      </c>
      <c r="E19">
        <v>15514512</v>
      </c>
      <c r="F19">
        <v>1</v>
      </c>
      <c r="G19">
        <v>15514512</v>
      </c>
      <c r="H19">
        <v>3</v>
      </c>
      <c r="I19" t="s">
        <v>419</v>
      </c>
      <c r="J19" t="s">
        <v>3</v>
      </c>
      <c r="K19" t="s">
        <v>420</v>
      </c>
      <c r="L19">
        <v>1346</v>
      </c>
      <c r="N19">
        <v>1009</v>
      </c>
      <c r="O19" t="s">
        <v>411</v>
      </c>
      <c r="P19" t="s">
        <v>411</v>
      </c>
      <c r="Q19">
        <v>1</v>
      </c>
      <c r="X19">
        <v>1.08</v>
      </c>
      <c r="Y19">
        <v>292.57515999999998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0</v>
      </c>
      <c r="AF19" t="s">
        <v>3</v>
      </c>
      <c r="AG19">
        <v>1.08</v>
      </c>
      <c r="AH19">
        <v>3</v>
      </c>
      <c r="AI19">
        <v>-1</v>
      </c>
      <c r="AJ19" t="s">
        <v>3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ROW(Source!A40)</f>
        <v>40</v>
      </c>
      <c r="B20">
        <v>1471738907</v>
      </c>
      <c r="C20">
        <v>1471663237</v>
      </c>
      <c r="D20">
        <v>1441821223</v>
      </c>
      <c r="E20">
        <v>15514512</v>
      </c>
      <c r="F20">
        <v>1</v>
      </c>
      <c r="G20">
        <v>15514512</v>
      </c>
      <c r="H20">
        <v>3</v>
      </c>
      <c r="I20" t="s">
        <v>421</v>
      </c>
      <c r="J20" t="s">
        <v>3</v>
      </c>
      <c r="K20" t="s">
        <v>422</v>
      </c>
      <c r="L20">
        <v>1346</v>
      </c>
      <c r="N20">
        <v>1009</v>
      </c>
      <c r="O20" t="s">
        <v>411</v>
      </c>
      <c r="P20" t="s">
        <v>411</v>
      </c>
      <c r="Q20">
        <v>1</v>
      </c>
      <c r="X20">
        <v>0.98</v>
      </c>
      <c r="Y20">
        <v>221.4237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0</v>
      </c>
      <c r="AF20" t="s">
        <v>3</v>
      </c>
      <c r="AG20">
        <v>0.98</v>
      </c>
      <c r="AH20">
        <v>3</v>
      </c>
      <c r="AI20">
        <v>-1</v>
      </c>
      <c r="AJ20" t="s">
        <v>3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ROW(Source!A41)</f>
        <v>41</v>
      </c>
      <c r="B21">
        <v>1471738910</v>
      </c>
      <c r="C21">
        <v>1471663253</v>
      </c>
      <c r="D21">
        <v>1441819193</v>
      </c>
      <c r="E21">
        <v>15514512</v>
      </c>
      <c r="F21">
        <v>1</v>
      </c>
      <c r="G21">
        <v>15514512</v>
      </c>
      <c r="H21">
        <v>1</v>
      </c>
      <c r="I21" t="s">
        <v>401</v>
      </c>
      <c r="J21" t="s">
        <v>3</v>
      </c>
      <c r="K21" t="s">
        <v>402</v>
      </c>
      <c r="L21">
        <v>1191</v>
      </c>
      <c r="N21">
        <v>1013</v>
      </c>
      <c r="O21" t="s">
        <v>403</v>
      </c>
      <c r="P21" t="s">
        <v>403</v>
      </c>
      <c r="Q21">
        <v>1</v>
      </c>
      <c r="X21">
        <v>112.48</v>
      </c>
      <c r="Y21">
        <v>0</v>
      </c>
      <c r="Z21">
        <v>0</v>
      </c>
      <c r="AA21">
        <v>0</v>
      </c>
      <c r="AB21">
        <v>0</v>
      </c>
      <c r="AC21">
        <v>0</v>
      </c>
      <c r="AD21">
        <v>1</v>
      </c>
      <c r="AE21">
        <v>1</v>
      </c>
      <c r="AF21" t="s">
        <v>3</v>
      </c>
      <c r="AG21">
        <v>112.48</v>
      </c>
      <c r="AH21">
        <v>3</v>
      </c>
      <c r="AI21">
        <v>-1</v>
      </c>
      <c r="AJ21" t="s">
        <v>3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ROW(Source!A41)</f>
        <v>41</v>
      </c>
      <c r="B22">
        <v>1471738911</v>
      </c>
      <c r="C22">
        <v>1471663253</v>
      </c>
      <c r="D22">
        <v>1441834334</v>
      </c>
      <c r="E22">
        <v>1</v>
      </c>
      <c r="F22">
        <v>1</v>
      </c>
      <c r="G22">
        <v>15514512</v>
      </c>
      <c r="H22">
        <v>2</v>
      </c>
      <c r="I22" t="s">
        <v>412</v>
      </c>
      <c r="J22" t="s">
        <v>413</v>
      </c>
      <c r="K22" t="s">
        <v>414</v>
      </c>
      <c r="L22">
        <v>1368</v>
      </c>
      <c r="N22">
        <v>1011</v>
      </c>
      <c r="O22" t="s">
        <v>407</v>
      </c>
      <c r="P22" t="s">
        <v>407</v>
      </c>
      <c r="Q22">
        <v>1</v>
      </c>
      <c r="X22">
        <v>5.8</v>
      </c>
      <c r="Y22">
        <v>0</v>
      </c>
      <c r="Z22">
        <v>10.66</v>
      </c>
      <c r="AA22">
        <v>0.12</v>
      </c>
      <c r="AB22">
        <v>0</v>
      </c>
      <c r="AC22">
        <v>0</v>
      </c>
      <c r="AD22">
        <v>1</v>
      </c>
      <c r="AE22">
        <v>0</v>
      </c>
      <c r="AF22" t="s">
        <v>3</v>
      </c>
      <c r="AG22">
        <v>5.8</v>
      </c>
      <c r="AH22">
        <v>3</v>
      </c>
      <c r="AI22">
        <v>-1</v>
      </c>
      <c r="AJ22" t="s">
        <v>3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ROW(Source!A41)</f>
        <v>41</v>
      </c>
      <c r="B23">
        <v>1471738913</v>
      </c>
      <c r="C23">
        <v>1471663253</v>
      </c>
      <c r="D23">
        <v>1441834443</v>
      </c>
      <c r="E23">
        <v>1</v>
      </c>
      <c r="F23">
        <v>1</v>
      </c>
      <c r="G23">
        <v>15514512</v>
      </c>
      <c r="H23">
        <v>3</v>
      </c>
      <c r="I23" t="s">
        <v>415</v>
      </c>
      <c r="J23" t="s">
        <v>416</v>
      </c>
      <c r="K23" t="s">
        <v>417</v>
      </c>
      <c r="L23">
        <v>1296</v>
      </c>
      <c r="N23">
        <v>1002</v>
      </c>
      <c r="O23" t="s">
        <v>418</v>
      </c>
      <c r="P23" t="s">
        <v>418</v>
      </c>
      <c r="Q23">
        <v>1</v>
      </c>
      <c r="X23">
        <v>0.31</v>
      </c>
      <c r="Y23">
        <v>785.72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0</v>
      </c>
      <c r="AF23" t="s">
        <v>3</v>
      </c>
      <c r="AG23">
        <v>0.31</v>
      </c>
      <c r="AH23">
        <v>3</v>
      </c>
      <c r="AI23">
        <v>-1</v>
      </c>
      <c r="AJ23" t="s">
        <v>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ROW(Source!A41)</f>
        <v>41</v>
      </c>
      <c r="B24">
        <v>1471738914</v>
      </c>
      <c r="C24">
        <v>1471663253</v>
      </c>
      <c r="D24">
        <v>1441821225</v>
      </c>
      <c r="E24">
        <v>15514512</v>
      </c>
      <c r="F24">
        <v>1</v>
      </c>
      <c r="G24">
        <v>15514512</v>
      </c>
      <c r="H24">
        <v>3</v>
      </c>
      <c r="I24" t="s">
        <v>419</v>
      </c>
      <c r="J24" t="s">
        <v>3</v>
      </c>
      <c r="K24" t="s">
        <v>420</v>
      </c>
      <c r="L24">
        <v>1346</v>
      </c>
      <c r="N24">
        <v>1009</v>
      </c>
      <c r="O24" t="s">
        <v>411</v>
      </c>
      <c r="P24" t="s">
        <v>411</v>
      </c>
      <c r="Q24">
        <v>1</v>
      </c>
      <c r="X24">
        <v>1.08</v>
      </c>
      <c r="Y24">
        <v>292.57515999999998</v>
      </c>
      <c r="Z24">
        <v>0</v>
      </c>
      <c r="AA24">
        <v>0</v>
      </c>
      <c r="AB24">
        <v>0</v>
      </c>
      <c r="AC24">
        <v>0</v>
      </c>
      <c r="AD24">
        <v>1</v>
      </c>
      <c r="AE24">
        <v>0</v>
      </c>
      <c r="AF24" t="s">
        <v>3</v>
      </c>
      <c r="AG24">
        <v>1.08</v>
      </c>
      <c r="AH24">
        <v>3</v>
      </c>
      <c r="AI24">
        <v>-1</v>
      </c>
      <c r="AJ24" t="s">
        <v>3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ROW(Source!A41)</f>
        <v>41</v>
      </c>
      <c r="B25">
        <v>1471738912</v>
      </c>
      <c r="C25">
        <v>1471663253</v>
      </c>
      <c r="D25">
        <v>1441821223</v>
      </c>
      <c r="E25">
        <v>15514512</v>
      </c>
      <c r="F25">
        <v>1</v>
      </c>
      <c r="G25">
        <v>15514512</v>
      </c>
      <c r="H25">
        <v>3</v>
      </c>
      <c r="I25" t="s">
        <v>421</v>
      </c>
      <c r="J25" t="s">
        <v>3</v>
      </c>
      <c r="K25" t="s">
        <v>422</v>
      </c>
      <c r="L25">
        <v>1346</v>
      </c>
      <c r="N25">
        <v>1009</v>
      </c>
      <c r="O25" t="s">
        <v>411</v>
      </c>
      <c r="P25" t="s">
        <v>411</v>
      </c>
      <c r="Q25">
        <v>1</v>
      </c>
      <c r="X25">
        <v>0.98</v>
      </c>
      <c r="Y25">
        <v>221.4237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0</v>
      </c>
      <c r="AF25" t="s">
        <v>3</v>
      </c>
      <c r="AG25">
        <v>0.98</v>
      </c>
      <c r="AH25">
        <v>3</v>
      </c>
      <c r="AI25">
        <v>-1</v>
      </c>
      <c r="AJ25" t="s">
        <v>3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ROW(Source!A42)</f>
        <v>42</v>
      </c>
      <c r="B26">
        <v>1471738973</v>
      </c>
      <c r="C26">
        <v>1471663269</v>
      </c>
      <c r="D26">
        <v>1441819193</v>
      </c>
      <c r="E26">
        <v>15514512</v>
      </c>
      <c r="F26">
        <v>1</v>
      </c>
      <c r="G26">
        <v>15514512</v>
      </c>
      <c r="H26">
        <v>1</v>
      </c>
      <c r="I26" t="s">
        <v>401</v>
      </c>
      <c r="J26" t="s">
        <v>3</v>
      </c>
      <c r="K26" t="s">
        <v>402</v>
      </c>
      <c r="L26">
        <v>1191</v>
      </c>
      <c r="N26">
        <v>1013</v>
      </c>
      <c r="O26" t="s">
        <v>403</v>
      </c>
      <c r="P26" t="s">
        <v>403</v>
      </c>
      <c r="Q26">
        <v>1</v>
      </c>
      <c r="X26">
        <v>0.82</v>
      </c>
      <c r="Y26">
        <v>0</v>
      </c>
      <c r="Z26">
        <v>0</v>
      </c>
      <c r="AA26">
        <v>0</v>
      </c>
      <c r="AB26">
        <v>0</v>
      </c>
      <c r="AC26">
        <v>0</v>
      </c>
      <c r="AD26">
        <v>1</v>
      </c>
      <c r="AE26">
        <v>1</v>
      </c>
      <c r="AF26" t="s">
        <v>27</v>
      </c>
      <c r="AG26">
        <v>6.56</v>
      </c>
      <c r="AH26">
        <v>3</v>
      </c>
      <c r="AI26">
        <v>-1</v>
      </c>
      <c r="AJ26" t="s">
        <v>3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ROW(Source!A43)</f>
        <v>43</v>
      </c>
      <c r="B27">
        <v>1471738974</v>
      </c>
      <c r="C27">
        <v>1471663273</v>
      </c>
      <c r="D27">
        <v>1441819193</v>
      </c>
      <c r="E27">
        <v>15514512</v>
      </c>
      <c r="F27">
        <v>1</v>
      </c>
      <c r="G27">
        <v>15514512</v>
      </c>
      <c r="H27">
        <v>1</v>
      </c>
      <c r="I27" t="s">
        <v>401</v>
      </c>
      <c r="J27" t="s">
        <v>3</v>
      </c>
      <c r="K27" t="s">
        <v>402</v>
      </c>
      <c r="L27">
        <v>1191</v>
      </c>
      <c r="N27">
        <v>1013</v>
      </c>
      <c r="O27" t="s">
        <v>403</v>
      </c>
      <c r="P27" t="s">
        <v>403</v>
      </c>
      <c r="Q27">
        <v>1</v>
      </c>
      <c r="X27">
        <v>0.45</v>
      </c>
      <c r="Y27">
        <v>0</v>
      </c>
      <c r="Z27">
        <v>0</v>
      </c>
      <c r="AA27">
        <v>0</v>
      </c>
      <c r="AB27">
        <v>0</v>
      </c>
      <c r="AC27">
        <v>0</v>
      </c>
      <c r="AD27">
        <v>1</v>
      </c>
      <c r="AE27">
        <v>1</v>
      </c>
      <c r="AF27" t="s">
        <v>3</v>
      </c>
      <c r="AG27">
        <v>0.45</v>
      </c>
      <c r="AH27">
        <v>3</v>
      </c>
      <c r="AI27">
        <v>-1</v>
      </c>
      <c r="AJ27" t="s">
        <v>3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ROW(Source!A44)</f>
        <v>44</v>
      </c>
      <c r="B28">
        <v>1471738975</v>
      </c>
      <c r="C28">
        <v>1471663277</v>
      </c>
      <c r="D28">
        <v>1441819193</v>
      </c>
      <c r="E28">
        <v>15514512</v>
      </c>
      <c r="F28">
        <v>1</v>
      </c>
      <c r="G28">
        <v>15514512</v>
      </c>
      <c r="H28">
        <v>1</v>
      </c>
      <c r="I28" t="s">
        <v>401</v>
      </c>
      <c r="J28" t="s">
        <v>3</v>
      </c>
      <c r="K28" t="s">
        <v>402</v>
      </c>
      <c r="L28">
        <v>1191</v>
      </c>
      <c r="N28">
        <v>1013</v>
      </c>
      <c r="O28" t="s">
        <v>403</v>
      </c>
      <c r="P28" t="s">
        <v>403</v>
      </c>
      <c r="Q28">
        <v>1</v>
      </c>
      <c r="X28">
        <v>0.37</v>
      </c>
      <c r="Y28">
        <v>0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1</v>
      </c>
      <c r="AF28" t="s">
        <v>3</v>
      </c>
      <c r="AG28">
        <v>0.37</v>
      </c>
      <c r="AH28">
        <v>3</v>
      </c>
      <c r="AI28">
        <v>-1</v>
      </c>
      <c r="AJ28" t="s">
        <v>3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ROW(Source!A44)</f>
        <v>44</v>
      </c>
      <c r="B29">
        <v>1471738976</v>
      </c>
      <c r="C29">
        <v>1471663277</v>
      </c>
      <c r="D29">
        <v>1441834258</v>
      </c>
      <c r="E29">
        <v>1</v>
      </c>
      <c r="F29">
        <v>1</v>
      </c>
      <c r="G29">
        <v>15514512</v>
      </c>
      <c r="H29">
        <v>2</v>
      </c>
      <c r="I29" t="s">
        <v>404</v>
      </c>
      <c r="J29" t="s">
        <v>405</v>
      </c>
      <c r="K29" t="s">
        <v>406</v>
      </c>
      <c r="L29">
        <v>1368</v>
      </c>
      <c r="N29">
        <v>1011</v>
      </c>
      <c r="O29" t="s">
        <v>407</v>
      </c>
      <c r="P29" t="s">
        <v>407</v>
      </c>
      <c r="Q29">
        <v>1</v>
      </c>
      <c r="X29">
        <v>0.06</v>
      </c>
      <c r="Y29">
        <v>0</v>
      </c>
      <c r="Z29">
        <v>1303.01</v>
      </c>
      <c r="AA29">
        <v>826.2</v>
      </c>
      <c r="AB29">
        <v>0</v>
      </c>
      <c r="AC29">
        <v>0</v>
      </c>
      <c r="AD29">
        <v>1</v>
      </c>
      <c r="AE29">
        <v>0</v>
      </c>
      <c r="AF29" t="s">
        <v>3</v>
      </c>
      <c r="AG29">
        <v>0.06</v>
      </c>
      <c r="AH29">
        <v>3</v>
      </c>
      <c r="AI29">
        <v>-1</v>
      </c>
      <c r="AJ29" t="s">
        <v>3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ROW(Source!A45)</f>
        <v>45</v>
      </c>
      <c r="B30">
        <v>1471738977</v>
      </c>
      <c r="C30">
        <v>1471663284</v>
      </c>
      <c r="D30">
        <v>1441819193</v>
      </c>
      <c r="E30">
        <v>15514512</v>
      </c>
      <c r="F30">
        <v>1</v>
      </c>
      <c r="G30">
        <v>15514512</v>
      </c>
      <c r="H30">
        <v>1</v>
      </c>
      <c r="I30" t="s">
        <v>401</v>
      </c>
      <c r="J30" t="s">
        <v>3</v>
      </c>
      <c r="K30" t="s">
        <v>402</v>
      </c>
      <c r="L30">
        <v>1191</v>
      </c>
      <c r="N30">
        <v>1013</v>
      </c>
      <c r="O30" t="s">
        <v>403</v>
      </c>
      <c r="P30" t="s">
        <v>403</v>
      </c>
      <c r="Q30">
        <v>1</v>
      </c>
      <c r="X30">
        <v>26.7</v>
      </c>
      <c r="Y30">
        <v>0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1</v>
      </c>
      <c r="AF30" t="s">
        <v>3</v>
      </c>
      <c r="AG30">
        <v>26.7</v>
      </c>
      <c r="AH30">
        <v>3</v>
      </c>
      <c r="AI30">
        <v>-1</v>
      </c>
      <c r="AJ30" t="s">
        <v>3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ROW(Source!A46)</f>
        <v>46</v>
      </c>
      <c r="B31">
        <v>1471738978</v>
      </c>
      <c r="C31">
        <v>1471663288</v>
      </c>
      <c r="D31">
        <v>1441819193</v>
      </c>
      <c r="E31">
        <v>15514512</v>
      </c>
      <c r="F31">
        <v>1</v>
      </c>
      <c r="G31">
        <v>15514512</v>
      </c>
      <c r="H31">
        <v>1</v>
      </c>
      <c r="I31" t="s">
        <v>401</v>
      </c>
      <c r="J31" t="s">
        <v>3</v>
      </c>
      <c r="K31" t="s">
        <v>402</v>
      </c>
      <c r="L31">
        <v>1191</v>
      </c>
      <c r="N31">
        <v>1013</v>
      </c>
      <c r="O31" t="s">
        <v>403</v>
      </c>
      <c r="P31" t="s">
        <v>403</v>
      </c>
      <c r="Q31">
        <v>1</v>
      </c>
      <c r="X31">
        <v>28.02</v>
      </c>
      <c r="Y31">
        <v>0</v>
      </c>
      <c r="Z31">
        <v>0</v>
      </c>
      <c r="AA31">
        <v>0</v>
      </c>
      <c r="AB31">
        <v>0</v>
      </c>
      <c r="AC31">
        <v>0</v>
      </c>
      <c r="AD31">
        <v>1</v>
      </c>
      <c r="AE31">
        <v>1</v>
      </c>
      <c r="AF31" t="s">
        <v>20</v>
      </c>
      <c r="AG31">
        <v>112.08</v>
      </c>
      <c r="AH31">
        <v>3</v>
      </c>
      <c r="AI31">
        <v>-1</v>
      </c>
      <c r="AJ31" t="s">
        <v>3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ROW(Source!A46)</f>
        <v>46</v>
      </c>
      <c r="B32">
        <v>1471738979</v>
      </c>
      <c r="C32">
        <v>1471663288</v>
      </c>
      <c r="D32">
        <v>1441834443</v>
      </c>
      <c r="E32">
        <v>1</v>
      </c>
      <c r="F32">
        <v>1</v>
      </c>
      <c r="G32">
        <v>15514512</v>
      </c>
      <c r="H32">
        <v>3</v>
      </c>
      <c r="I32" t="s">
        <v>415</v>
      </c>
      <c r="J32" t="s">
        <v>416</v>
      </c>
      <c r="K32" t="s">
        <v>417</v>
      </c>
      <c r="L32">
        <v>1296</v>
      </c>
      <c r="N32">
        <v>1002</v>
      </c>
      <c r="O32" t="s">
        <v>418</v>
      </c>
      <c r="P32" t="s">
        <v>418</v>
      </c>
      <c r="Q32">
        <v>1</v>
      </c>
      <c r="X32">
        <v>0.31</v>
      </c>
      <c r="Y32">
        <v>785.72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0</v>
      </c>
      <c r="AF32" t="s">
        <v>20</v>
      </c>
      <c r="AG32">
        <v>1.24</v>
      </c>
      <c r="AH32">
        <v>3</v>
      </c>
      <c r="AI32">
        <v>-1</v>
      </c>
      <c r="AJ32" t="s">
        <v>3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ROW(Source!A47)</f>
        <v>47</v>
      </c>
      <c r="B33">
        <v>1471738980</v>
      </c>
      <c r="C33">
        <v>1471663295</v>
      </c>
      <c r="D33">
        <v>1441819193</v>
      </c>
      <c r="E33">
        <v>15514512</v>
      </c>
      <c r="F33">
        <v>1</v>
      </c>
      <c r="G33">
        <v>15514512</v>
      </c>
      <c r="H33">
        <v>1</v>
      </c>
      <c r="I33" t="s">
        <v>401</v>
      </c>
      <c r="J33" t="s">
        <v>3</v>
      </c>
      <c r="K33" t="s">
        <v>402</v>
      </c>
      <c r="L33">
        <v>1191</v>
      </c>
      <c r="N33">
        <v>1013</v>
      </c>
      <c r="O33" t="s">
        <v>403</v>
      </c>
      <c r="P33" t="s">
        <v>403</v>
      </c>
      <c r="Q33">
        <v>1</v>
      </c>
      <c r="X33">
        <v>0.13</v>
      </c>
      <c r="Y33">
        <v>0</v>
      </c>
      <c r="Z33">
        <v>0</v>
      </c>
      <c r="AA33">
        <v>0</v>
      </c>
      <c r="AB33">
        <v>0</v>
      </c>
      <c r="AC33">
        <v>0</v>
      </c>
      <c r="AD33">
        <v>1</v>
      </c>
      <c r="AE33">
        <v>1</v>
      </c>
      <c r="AF33" t="s">
        <v>20</v>
      </c>
      <c r="AG33">
        <v>0.52</v>
      </c>
      <c r="AH33">
        <v>3</v>
      </c>
      <c r="AI33">
        <v>-1</v>
      </c>
      <c r="AJ33" t="s">
        <v>3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ROW(Source!A48)</f>
        <v>48</v>
      </c>
      <c r="B34">
        <v>1471738985</v>
      </c>
      <c r="C34">
        <v>1471663299</v>
      </c>
      <c r="D34">
        <v>1441819193</v>
      </c>
      <c r="E34">
        <v>15514512</v>
      </c>
      <c r="F34">
        <v>1</v>
      </c>
      <c r="G34">
        <v>15514512</v>
      </c>
      <c r="H34">
        <v>1</v>
      </c>
      <c r="I34" t="s">
        <v>401</v>
      </c>
      <c r="J34" t="s">
        <v>3</v>
      </c>
      <c r="K34" t="s">
        <v>402</v>
      </c>
      <c r="L34">
        <v>1191</v>
      </c>
      <c r="N34">
        <v>1013</v>
      </c>
      <c r="O34" t="s">
        <v>403</v>
      </c>
      <c r="P34" t="s">
        <v>403</v>
      </c>
      <c r="Q34">
        <v>1</v>
      </c>
      <c r="X34">
        <v>29.54</v>
      </c>
      <c r="Y34">
        <v>0</v>
      </c>
      <c r="Z34">
        <v>0</v>
      </c>
      <c r="AA34">
        <v>0</v>
      </c>
      <c r="AB34">
        <v>0</v>
      </c>
      <c r="AC34">
        <v>0</v>
      </c>
      <c r="AD34">
        <v>1</v>
      </c>
      <c r="AE34">
        <v>1</v>
      </c>
      <c r="AF34" t="s">
        <v>3</v>
      </c>
      <c r="AG34">
        <v>29.54</v>
      </c>
      <c r="AH34">
        <v>3</v>
      </c>
      <c r="AI34">
        <v>-1</v>
      </c>
      <c r="AJ34" t="s">
        <v>3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ROW(Source!A48)</f>
        <v>48</v>
      </c>
      <c r="B35">
        <v>1471738986</v>
      </c>
      <c r="C35">
        <v>1471663299</v>
      </c>
      <c r="D35">
        <v>1441835469</v>
      </c>
      <c r="E35">
        <v>1</v>
      </c>
      <c r="F35">
        <v>1</v>
      </c>
      <c r="G35">
        <v>15514512</v>
      </c>
      <c r="H35">
        <v>3</v>
      </c>
      <c r="I35" t="s">
        <v>423</v>
      </c>
      <c r="J35" t="s">
        <v>424</v>
      </c>
      <c r="K35" t="s">
        <v>425</v>
      </c>
      <c r="L35">
        <v>1348</v>
      </c>
      <c r="N35">
        <v>1009</v>
      </c>
      <c r="O35" t="s">
        <v>426</v>
      </c>
      <c r="P35" t="s">
        <v>426</v>
      </c>
      <c r="Q35">
        <v>1000</v>
      </c>
      <c r="X35">
        <v>5.0000000000000001E-3</v>
      </c>
      <c r="Y35">
        <v>163237.26999999999</v>
      </c>
      <c r="Z35">
        <v>0</v>
      </c>
      <c r="AA35">
        <v>0</v>
      </c>
      <c r="AB35">
        <v>0</v>
      </c>
      <c r="AC35">
        <v>0</v>
      </c>
      <c r="AD35">
        <v>1</v>
      </c>
      <c r="AE35">
        <v>0</v>
      </c>
      <c r="AF35" t="s">
        <v>3</v>
      </c>
      <c r="AG35">
        <v>5.0000000000000001E-3</v>
      </c>
      <c r="AH35">
        <v>3</v>
      </c>
      <c r="AI35">
        <v>-1</v>
      </c>
      <c r="AJ35" t="s">
        <v>3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ROW(Source!A48)</f>
        <v>48</v>
      </c>
      <c r="B36">
        <v>1471738987</v>
      </c>
      <c r="C36">
        <v>1471663299</v>
      </c>
      <c r="D36">
        <v>1441836514</v>
      </c>
      <c r="E36">
        <v>1</v>
      </c>
      <c r="F36">
        <v>1</v>
      </c>
      <c r="G36">
        <v>15514512</v>
      </c>
      <c r="H36">
        <v>3</v>
      </c>
      <c r="I36" t="s">
        <v>427</v>
      </c>
      <c r="J36" t="s">
        <v>428</v>
      </c>
      <c r="K36" t="s">
        <v>429</v>
      </c>
      <c r="L36">
        <v>1339</v>
      </c>
      <c r="N36">
        <v>1007</v>
      </c>
      <c r="O36" t="s">
        <v>430</v>
      </c>
      <c r="P36" t="s">
        <v>430</v>
      </c>
      <c r="Q36">
        <v>1</v>
      </c>
      <c r="X36">
        <v>7.8</v>
      </c>
      <c r="Y36">
        <v>54.81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0</v>
      </c>
      <c r="AF36" t="s">
        <v>3</v>
      </c>
      <c r="AG36">
        <v>7.8</v>
      </c>
      <c r="AH36">
        <v>3</v>
      </c>
      <c r="AI36">
        <v>-1</v>
      </c>
      <c r="AJ36" t="s">
        <v>3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ROW(Source!A48)</f>
        <v>48</v>
      </c>
      <c r="B37">
        <v>1471738988</v>
      </c>
      <c r="C37">
        <v>1471663299</v>
      </c>
      <c r="D37">
        <v>1441847238</v>
      </c>
      <c r="E37">
        <v>1</v>
      </c>
      <c r="F37">
        <v>1</v>
      </c>
      <c r="G37">
        <v>15514512</v>
      </c>
      <c r="H37">
        <v>3</v>
      </c>
      <c r="I37" t="s">
        <v>431</v>
      </c>
      <c r="J37" t="s">
        <v>432</v>
      </c>
      <c r="K37" t="s">
        <v>433</v>
      </c>
      <c r="L37">
        <v>1346</v>
      </c>
      <c r="N37">
        <v>1009</v>
      </c>
      <c r="O37" t="s">
        <v>411</v>
      </c>
      <c r="P37" t="s">
        <v>411</v>
      </c>
      <c r="Q37">
        <v>1</v>
      </c>
      <c r="X37">
        <v>2</v>
      </c>
      <c r="Y37">
        <v>742.26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0</v>
      </c>
      <c r="AF37" t="s">
        <v>3</v>
      </c>
      <c r="AG37">
        <v>2</v>
      </c>
      <c r="AH37">
        <v>3</v>
      </c>
      <c r="AI37">
        <v>-1</v>
      </c>
      <c r="AJ37" t="s">
        <v>3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ROW(Source!A49)</f>
        <v>49</v>
      </c>
      <c r="B38">
        <v>1471738997</v>
      </c>
      <c r="C38">
        <v>1471663312</v>
      </c>
      <c r="D38">
        <v>1441819193</v>
      </c>
      <c r="E38">
        <v>15514512</v>
      </c>
      <c r="F38">
        <v>1</v>
      </c>
      <c r="G38">
        <v>15514512</v>
      </c>
      <c r="H38">
        <v>1</v>
      </c>
      <c r="I38" t="s">
        <v>401</v>
      </c>
      <c r="J38" t="s">
        <v>3</v>
      </c>
      <c r="K38" t="s">
        <v>402</v>
      </c>
      <c r="L38">
        <v>1191</v>
      </c>
      <c r="N38">
        <v>1013</v>
      </c>
      <c r="O38" t="s">
        <v>403</v>
      </c>
      <c r="P38" t="s">
        <v>403</v>
      </c>
      <c r="Q38">
        <v>1</v>
      </c>
      <c r="X38">
        <v>2.04</v>
      </c>
      <c r="Y38">
        <v>0</v>
      </c>
      <c r="Z38">
        <v>0</v>
      </c>
      <c r="AA38">
        <v>0</v>
      </c>
      <c r="AB38">
        <v>0</v>
      </c>
      <c r="AC38">
        <v>0</v>
      </c>
      <c r="AD38">
        <v>1</v>
      </c>
      <c r="AE38">
        <v>1</v>
      </c>
      <c r="AF38" t="s">
        <v>42</v>
      </c>
      <c r="AG38">
        <v>4.08</v>
      </c>
      <c r="AH38">
        <v>3</v>
      </c>
      <c r="AI38">
        <v>-1</v>
      </c>
      <c r="AJ38" t="s">
        <v>3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ROW(Source!A50)</f>
        <v>50</v>
      </c>
      <c r="B39">
        <v>1471739009</v>
      </c>
      <c r="C39">
        <v>1471663316</v>
      </c>
      <c r="D39">
        <v>1441819193</v>
      </c>
      <c r="E39">
        <v>15514512</v>
      </c>
      <c r="F39">
        <v>1</v>
      </c>
      <c r="G39">
        <v>15514512</v>
      </c>
      <c r="H39">
        <v>1</v>
      </c>
      <c r="I39" t="s">
        <v>401</v>
      </c>
      <c r="J39" t="s">
        <v>3</v>
      </c>
      <c r="K39" t="s">
        <v>402</v>
      </c>
      <c r="L39">
        <v>1191</v>
      </c>
      <c r="N39">
        <v>1013</v>
      </c>
      <c r="O39" t="s">
        <v>403</v>
      </c>
      <c r="P39" t="s">
        <v>403</v>
      </c>
      <c r="Q39">
        <v>1</v>
      </c>
      <c r="X39">
        <v>0.61</v>
      </c>
      <c r="Y39">
        <v>0</v>
      </c>
      <c r="Z39">
        <v>0</v>
      </c>
      <c r="AA39">
        <v>0</v>
      </c>
      <c r="AB39">
        <v>0</v>
      </c>
      <c r="AC39">
        <v>0</v>
      </c>
      <c r="AD39">
        <v>1</v>
      </c>
      <c r="AE39">
        <v>1</v>
      </c>
      <c r="AF39" t="s">
        <v>42</v>
      </c>
      <c r="AG39">
        <v>1.22</v>
      </c>
      <c r="AH39">
        <v>3</v>
      </c>
      <c r="AI39">
        <v>-1</v>
      </c>
      <c r="AJ39" t="s">
        <v>3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ROW(Source!A51)</f>
        <v>51</v>
      </c>
      <c r="B40">
        <v>1471739017</v>
      </c>
      <c r="C40">
        <v>1471663320</v>
      </c>
      <c r="D40">
        <v>1441819193</v>
      </c>
      <c r="E40">
        <v>15514512</v>
      </c>
      <c r="F40">
        <v>1</v>
      </c>
      <c r="G40">
        <v>15514512</v>
      </c>
      <c r="H40">
        <v>1</v>
      </c>
      <c r="I40" t="s">
        <v>401</v>
      </c>
      <c r="J40" t="s">
        <v>3</v>
      </c>
      <c r="K40" t="s">
        <v>402</v>
      </c>
      <c r="L40">
        <v>1191</v>
      </c>
      <c r="N40">
        <v>1013</v>
      </c>
      <c r="O40" t="s">
        <v>403</v>
      </c>
      <c r="P40" t="s">
        <v>403</v>
      </c>
      <c r="Q40">
        <v>1</v>
      </c>
      <c r="X40">
        <v>0.4</v>
      </c>
      <c r="Y40">
        <v>0</v>
      </c>
      <c r="Z40">
        <v>0</v>
      </c>
      <c r="AA40">
        <v>0</v>
      </c>
      <c r="AB40">
        <v>0</v>
      </c>
      <c r="AC40">
        <v>0</v>
      </c>
      <c r="AD40">
        <v>1</v>
      </c>
      <c r="AE40">
        <v>1</v>
      </c>
      <c r="AF40" t="s">
        <v>20</v>
      </c>
      <c r="AG40">
        <v>1.6</v>
      </c>
      <c r="AH40">
        <v>3</v>
      </c>
      <c r="AI40">
        <v>-1</v>
      </c>
      <c r="AJ40" t="s">
        <v>3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ROW(Source!A52)</f>
        <v>52</v>
      </c>
      <c r="B41">
        <v>1471739211</v>
      </c>
      <c r="C41">
        <v>1471663324</v>
      </c>
      <c r="D41">
        <v>1441819193</v>
      </c>
      <c r="E41">
        <v>15514512</v>
      </c>
      <c r="F41">
        <v>1</v>
      </c>
      <c r="G41">
        <v>15514512</v>
      </c>
      <c r="H41">
        <v>1</v>
      </c>
      <c r="I41" t="s">
        <v>401</v>
      </c>
      <c r="J41" t="s">
        <v>3</v>
      </c>
      <c r="K41" t="s">
        <v>402</v>
      </c>
      <c r="L41">
        <v>1191</v>
      </c>
      <c r="N41">
        <v>1013</v>
      </c>
      <c r="O41" t="s">
        <v>403</v>
      </c>
      <c r="P41" t="s">
        <v>403</v>
      </c>
      <c r="Q41">
        <v>1</v>
      </c>
      <c r="X41">
        <v>1</v>
      </c>
      <c r="Y41">
        <v>0</v>
      </c>
      <c r="Z41">
        <v>0</v>
      </c>
      <c r="AA41">
        <v>0</v>
      </c>
      <c r="AB41">
        <v>0</v>
      </c>
      <c r="AC41">
        <v>0</v>
      </c>
      <c r="AD41">
        <v>1</v>
      </c>
      <c r="AE41">
        <v>1</v>
      </c>
      <c r="AF41" t="s">
        <v>3</v>
      </c>
      <c r="AG41">
        <v>1</v>
      </c>
      <c r="AH41">
        <v>3</v>
      </c>
      <c r="AI41">
        <v>-1</v>
      </c>
      <c r="AJ41" t="s">
        <v>3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ROW(Source!A88)</f>
        <v>88</v>
      </c>
      <c r="B42">
        <v>1471739248</v>
      </c>
      <c r="C42">
        <v>1471663328</v>
      </c>
      <c r="D42">
        <v>1441819193</v>
      </c>
      <c r="E42">
        <v>15514512</v>
      </c>
      <c r="F42">
        <v>1</v>
      </c>
      <c r="G42">
        <v>15514512</v>
      </c>
      <c r="H42">
        <v>1</v>
      </c>
      <c r="I42" t="s">
        <v>401</v>
      </c>
      <c r="J42" t="s">
        <v>3</v>
      </c>
      <c r="K42" t="s">
        <v>402</v>
      </c>
      <c r="L42">
        <v>1191</v>
      </c>
      <c r="N42">
        <v>1013</v>
      </c>
      <c r="O42" t="s">
        <v>403</v>
      </c>
      <c r="P42" t="s">
        <v>403</v>
      </c>
      <c r="Q42">
        <v>1</v>
      </c>
      <c r="X42">
        <v>1.59</v>
      </c>
      <c r="Y42">
        <v>0</v>
      </c>
      <c r="Z42">
        <v>0</v>
      </c>
      <c r="AA42">
        <v>0</v>
      </c>
      <c r="AB42">
        <v>0</v>
      </c>
      <c r="AC42">
        <v>0</v>
      </c>
      <c r="AD42">
        <v>1</v>
      </c>
      <c r="AE42">
        <v>1</v>
      </c>
      <c r="AF42" t="s">
        <v>3</v>
      </c>
      <c r="AG42">
        <v>1.59</v>
      </c>
      <c r="AH42">
        <v>3</v>
      </c>
      <c r="AI42">
        <v>-1</v>
      </c>
      <c r="AJ42" t="s">
        <v>3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ROW(Source!A88)</f>
        <v>88</v>
      </c>
      <c r="B43">
        <v>1471739249</v>
      </c>
      <c r="C43">
        <v>1471663328</v>
      </c>
      <c r="D43">
        <v>1441836235</v>
      </c>
      <c r="E43">
        <v>1</v>
      </c>
      <c r="F43">
        <v>1</v>
      </c>
      <c r="G43">
        <v>15514512</v>
      </c>
      <c r="H43">
        <v>3</v>
      </c>
      <c r="I43" t="s">
        <v>408</v>
      </c>
      <c r="J43" t="s">
        <v>409</v>
      </c>
      <c r="K43" t="s">
        <v>410</v>
      </c>
      <c r="L43">
        <v>1346</v>
      </c>
      <c r="N43">
        <v>1009</v>
      </c>
      <c r="O43" t="s">
        <v>411</v>
      </c>
      <c r="P43" t="s">
        <v>411</v>
      </c>
      <c r="Q43">
        <v>1</v>
      </c>
      <c r="X43">
        <v>0.01</v>
      </c>
      <c r="Y43">
        <v>31.49</v>
      </c>
      <c r="Z43">
        <v>0</v>
      </c>
      <c r="AA43">
        <v>0</v>
      </c>
      <c r="AB43">
        <v>0</v>
      </c>
      <c r="AC43">
        <v>0</v>
      </c>
      <c r="AD43">
        <v>1</v>
      </c>
      <c r="AE43">
        <v>0</v>
      </c>
      <c r="AF43" t="s">
        <v>3</v>
      </c>
      <c r="AG43">
        <v>0.01</v>
      </c>
      <c r="AH43">
        <v>3</v>
      </c>
      <c r="AI43">
        <v>-1</v>
      </c>
      <c r="AJ43" t="s">
        <v>3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ROW(Source!A89)</f>
        <v>89</v>
      </c>
      <c r="B44">
        <v>1471739262</v>
      </c>
      <c r="C44">
        <v>1471663335</v>
      </c>
      <c r="D44">
        <v>1441819193</v>
      </c>
      <c r="E44">
        <v>15514512</v>
      </c>
      <c r="F44">
        <v>1</v>
      </c>
      <c r="G44">
        <v>15514512</v>
      </c>
      <c r="H44">
        <v>1</v>
      </c>
      <c r="I44" t="s">
        <v>401</v>
      </c>
      <c r="J44" t="s">
        <v>3</v>
      </c>
      <c r="K44" t="s">
        <v>402</v>
      </c>
      <c r="L44">
        <v>1191</v>
      </c>
      <c r="N44">
        <v>1013</v>
      </c>
      <c r="O44" t="s">
        <v>403</v>
      </c>
      <c r="P44" t="s">
        <v>403</v>
      </c>
      <c r="Q44">
        <v>1</v>
      </c>
      <c r="X44">
        <v>0.14000000000000001</v>
      </c>
      <c r="Y44">
        <v>0</v>
      </c>
      <c r="Z44">
        <v>0</v>
      </c>
      <c r="AA44">
        <v>0</v>
      </c>
      <c r="AB44">
        <v>0</v>
      </c>
      <c r="AC44">
        <v>0</v>
      </c>
      <c r="AD44">
        <v>1</v>
      </c>
      <c r="AE44">
        <v>1</v>
      </c>
      <c r="AF44" t="s">
        <v>3</v>
      </c>
      <c r="AG44">
        <v>0.14000000000000001</v>
      </c>
      <c r="AH44">
        <v>3</v>
      </c>
      <c r="AI44">
        <v>-1</v>
      </c>
      <c r="AJ44" t="s">
        <v>3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ROW(Source!A89)</f>
        <v>89</v>
      </c>
      <c r="B45">
        <v>1471739263</v>
      </c>
      <c r="C45">
        <v>1471663335</v>
      </c>
      <c r="D45">
        <v>1441834213</v>
      </c>
      <c r="E45">
        <v>1</v>
      </c>
      <c r="F45">
        <v>1</v>
      </c>
      <c r="G45">
        <v>15514512</v>
      </c>
      <c r="H45">
        <v>2</v>
      </c>
      <c r="I45" t="s">
        <v>434</v>
      </c>
      <c r="J45" t="s">
        <v>435</v>
      </c>
      <c r="K45" t="s">
        <v>436</v>
      </c>
      <c r="L45">
        <v>1368</v>
      </c>
      <c r="N45">
        <v>1011</v>
      </c>
      <c r="O45" t="s">
        <v>407</v>
      </c>
      <c r="P45" t="s">
        <v>407</v>
      </c>
      <c r="Q45">
        <v>1</v>
      </c>
      <c r="X45">
        <v>0.03</v>
      </c>
      <c r="Y45">
        <v>0</v>
      </c>
      <c r="Z45">
        <v>7.68</v>
      </c>
      <c r="AA45">
        <v>0.05</v>
      </c>
      <c r="AB45">
        <v>0</v>
      </c>
      <c r="AC45">
        <v>0</v>
      </c>
      <c r="AD45">
        <v>1</v>
      </c>
      <c r="AE45">
        <v>0</v>
      </c>
      <c r="AF45" t="s">
        <v>3</v>
      </c>
      <c r="AG45">
        <v>0.03</v>
      </c>
      <c r="AH45">
        <v>3</v>
      </c>
      <c r="AI45">
        <v>-1</v>
      </c>
      <c r="AJ45" t="s">
        <v>3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ROW(Source!A89)</f>
        <v>89</v>
      </c>
      <c r="B46">
        <v>1471739264</v>
      </c>
      <c r="C46">
        <v>1471663335</v>
      </c>
      <c r="D46">
        <v>1441836235</v>
      </c>
      <c r="E46">
        <v>1</v>
      </c>
      <c r="F46">
        <v>1</v>
      </c>
      <c r="G46">
        <v>15514512</v>
      </c>
      <c r="H46">
        <v>3</v>
      </c>
      <c r="I46" t="s">
        <v>408</v>
      </c>
      <c r="J46" t="s">
        <v>409</v>
      </c>
      <c r="K46" t="s">
        <v>410</v>
      </c>
      <c r="L46">
        <v>1346</v>
      </c>
      <c r="N46">
        <v>1009</v>
      </c>
      <c r="O46" t="s">
        <v>411</v>
      </c>
      <c r="P46" t="s">
        <v>411</v>
      </c>
      <c r="Q46">
        <v>1</v>
      </c>
      <c r="X46">
        <v>7.0000000000000007E-2</v>
      </c>
      <c r="Y46">
        <v>31.49</v>
      </c>
      <c r="Z46">
        <v>0</v>
      </c>
      <c r="AA46">
        <v>0</v>
      </c>
      <c r="AB46">
        <v>0</v>
      </c>
      <c r="AC46">
        <v>0</v>
      </c>
      <c r="AD46">
        <v>1</v>
      </c>
      <c r="AE46">
        <v>0</v>
      </c>
      <c r="AF46" t="s">
        <v>3</v>
      </c>
      <c r="AG46">
        <v>7.0000000000000007E-2</v>
      </c>
      <c r="AH46">
        <v>3</v>
      </c>
      <c r="AI46">
        <v>-1</v>
      </c>
      <c r="AJ46" t="s">
        <v>3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ROW(Source!A90)</f>
        <v>90</v>
      </c>
      <c r="B47">
        <v>1471739276</v>
      </c>
      <c r="C47">
        <v>1471663345</v>
      </c>
      <c r="D47">
        <v>1441819193</v>
      </c>
      <c r="E47">
        <v>15514512</v>
      </c>
      <c r="F47">
        <v>1</v>
      </c>
      <c r="G47">
        <v>15514512</v>
      </c>
      <c r="H47">
        <v>1</v>
      </c>
      <c r="I47" t="s">
        <v>401</v>
      </c>
      <c r="J47" t="s">
        <v>3</v>
      </c>
      <c r="K47" t="s">
        <v>402</v>
      </c>
      <c r="L47">
        <v>1191</v>
      </c>
      <c r="N47">
        <v>1013</v>
      </c>
      <c r="O47" t="s">
        <v>403</v>
      </c>
      <c r="P47" t="s">
        <v>403</v>
      </c>
      <c r="Q47">
        <v>1</v>
      </c>
      <c r="X47">
        <v>0.41</v>
      </c>
      <c r="Y47">
        <v>0</v>
      </c>
      <c r="Z47">
        <v>0</v>
      </c>
      <c r="AA47">
        <v>0</v>
      </c>
      <c r="AB47">
        <v>0</v>
      </c>
      <c r="AC47">
        <v>0</v>
      </c>
      <c r="AD47">
        <v>1</v>
      </c>
      <c r="AE47">
        <v>1</v>
      </c>
      <c r="AF47" t="s">
        <v>163</v>
      </c>
      <c r="AG47">
        <v>1.23</v>
      </c>
      <c r="AH47">
        <v>3</v>
      </c>
      <c r="AI47">
        <v>-1</v>
      </c>
      <c r="AJ47" t="s">
        <v>3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ROW(Source!A126)</f>
        <v>126</v>
      </c>
      <c r="B48">
        <v>1471739292</v>
      </c>
      <c r="C48">
        <v>1471663349</v>
      </c>
      <c r="D48">
        <v>1441819193</v>
      </c>
      <c r="E48">
        <v>15514512</v>
      </c>
      <c r="F48">
        <v>1</v>
      </c>
      <c r="G48">
        <v>15514512</v>
      </c>
      <c r="H48">
        <v>1</v>
      </c>
      <c r="I48" t="s">
        <v>401</v>
      </c>
      <c r="J48" t="s">
        <v>3</v>
      </c>
      <c r="K48" t="s">
        <v>402</v>
      </c>
      <c r="L48">
        <v>1191</v>
      </c>
      <c r="N48">
        <v>1013</v>
      </c>
      <c r="O48" t="s">
        <v>403</v>
      </c>
      <c r="P48" t="s">
        <v>403</v>
      </c>
      <c r="Q48">
        <v>1</v>
      </c>
      <c r="X48">
        <v>0.5</v>
      </c>
      <c r="Y48">
        <v>0</v>
      </c>
      <c r="Z48">
        <v>0</v>
      </c>
      <c r="AA48">
        <v>0</v>
      </c>
      <c r="AB48">
        <v>0</v>
      </c>
      <c r="AC48">
        <v>0</v>
      </c>
      <c r="AD48">
        <v>1</v>
      </c>
      <c r="AE48">
        <v>1</v>
      </c>
      <c r="AF48" t="s">
        <v>20</v>
      </c>
      <c r="AG48">
        <v>2</v>
      </c>
      <c r="AH48">
        <v>3</v>
      </c>
      <c r="AI48">
        <v>-1</v>
      </c>
      <c r="AJ48" t="s">
        <v>3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ROW(Source!A127)</f>
        <v>127</v>
      </c>
      <c r="B49">
        <v>1471739323</v>
      </c>
      <c r="C49">
        <v>1471663353</v>
      </c>
      <c r="D49">
        <v>1441819193</v>
      </c>
      <c r="E49">
        <v>15514512</v>
      </c>
      <c r="F49">
        <v>1</v>
      </c>
      <c r="G49">
        <v>15514512</v>
      </c>
      <c r="H49">
        <v>1</v>
      </c>
      <c r="I49" t="s">
        <v>401</v>
      </c>
      <c r="J49" t="s">
        <v>3</v>
      </c>
      <c r="K49" t="s">
        <v>402</v>
      </c>
      <c r="L49">
        <v>1191</v>
      </c>
      <c r="N49">
        <v>1013</v>
      </c>
      <c r="O49" t="s">
        <v>403</v>
      </c>
      <c r="P49" t="s">
        <v>403</v>
      </c>
      <c r="Q49">
        <v>1</v>
      </c>
      <c r="X49">
        <v>1.76</v>
      </c>
      <c r="Y49">
        <v>0</v>
      </c>
      <c r="Z49">
        <v>0</v>
      </c>
      <c r="AA49">
        <v>0</v>
      </c>
      <c r="AB49">
        <v>0</v>
      </c>
      <c r="AC49">
        <v>0</v>
      </c>
      <c r="AD49">
        <v>1</v>
      </c>
      <c r="AE49">
        <v>1</v>
      </c>
      <c r="AF49" t="s">
        <v>42</v>
      </c>
      <c r="AG49">
        <v>3.52</v>
      </c>
      <c r="AH49">
        <v>3</v>
      </c>
      <c r="AI49">
        <v>-1</v>
      </c>
      <c r="AJ49" t="s">
        <v>3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ROW(Source!A128)</f>
        <v>128</v>
      </c>
      <c r="B50">
        <v>1471739329</v>
      </c>
      <c r="C50">
        <v>1471663357</v>
      </c>
      <c r="D50">
        <v>1441819193</v>
      </c>
      <c r="E50">
        <v>15514512</v>
      </c>
      <c r="F50">
        <v>1</v>
      </c>
      <c r="G50">
        <v>15514512</v>
      </c>
      <c r="H50">
        <v>1</v>
      </c>
      <c r="I50" t="s">
        <v>401</v>
      </c>
      <c r="J50" t="s">
        <v>3</v>
      </c>
      <c r="K50" t="s">
        <v>402</v>
      </c>
      <c r="L50">
        <v>1191</v>
      </c>
      <c r="N50">
        <v>1013</v>
      </c>
      <c r="O50" t="s">
        <v>403</v>
      </c>
      <c r="P50" t="s">
        <v>403</v>
      </c>
      <c r="Q50">
        <v>1</v>
      </c>
      <c r="X50">
        <v>3.38</v>
      </c>
      <c r="Y50">
        <v>0</v>
      </c>
      <c r="Z50">
        <v>0</v>
      </c>
      <c r="AA50">
        <v>0</v>
      </c>
      <c r="AB50">
        <v>0</v>
      </c>
      <c r="AC50">
        <v>0</v>
      </c>
      <c r="AD50">
        <v>1</v>
      </c>
      <c r="AE50">
        <v>1</v>
      </c>
      <c r="AF50" t="s">
        <v>3</v>
      </c>
      <c r="AG50">
        <v>3.38</v>
      </c>
      <c r="AH50">
        <v>3</v>
      </c>
      <c r="AI50">
        <v>-1</v>
      </c>
      <c r="AJ50" t="s">
        <v>3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ROW(Source!A128)</f>
        <v>128</v>
      </c>
      <c r="B51">
        <v>1471739330</v>
      </c>
      <c r="C51">
        <v>1471663357</v>
      </c>
      <c r="D51">
        <v>1441836235</v>
      </c>
      <c r="E51">
        <v>1</v>
      </c>
      <c r="F51">
        <v>1</v>
      </c>
      <c r="G51">
        <v>15514512</v>
      </c>
      <c r="H51">
        <v>3</v>
      </c>
      <c r="I51" t="s">
        <v>408</v>
      </c>
      <c r="J51" t="s">
        <v>409</v>
      </c>
      <c r="K51" t="s">
        <v>410</v>
      </c>
      <c r="L51">
        <v>1346</v>
      </c>
      <c r="N51">
        <v>1009</v>
      </c>
      <c r="O51" t="s">
        <v>411</v>
      </c>
      <c r="P51" t="s">
        <v>411</v>
      </c>
      <c r="Q51">
        <v>1</v>
      </c>
      <c r="X51">
        <v>0.1</v>
      </c>
      <c r="Y51">
        <v>31.49</v>
      </c>
      <c r="Z51">
        <v>0</v>
      </c>
      <c r="AA51">
        <v>0</v>
      </c>
      <c r="AB51">
        <v>0</v>
      </c>
      <c r="AC51">
        <v>0</v>
      </c>
      <c r="AD51">
        <v>1</v>
      </c>
      <c r="AE51">
        <v>0</v>
      </c>
      <c r="AF51" t="s">
        <v>3</v>
      </c>
      <c r="AG51">
        <v>0.1</v>
      </c>
      <c r="AH51">
        <v>3</v>
      </c>
      <c r="AI51">
        <v>-1</v>
      </c>
      <c r="AJ51" t="s">
        <v>3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ROW(Source!A128)</f>
        <v>128</v>
      </c>
      <c r="B52">
        <v>1471739332</v>
      </c>
      <c r="C52">
        <v>1471663357</v>
      </c>
      <c r="D52">
        <v>1441821379</v>
      </c>
      <c r="E52">
        <v>15514512</v>
      </c>
      <c r="F52">
        <v>1</v>
      </c>
      <c r="G52">
        <v>15514512</v>
      </c>
      <c r="H52">
        <v>3</v>
      </c>
      <c r="I52" t="s">
        <v>437</v>
      </c>
      <c r="J52" t="s">
        <v>3</v>
      </c>
      <c r="K52" t="s">
        <v>438</v>
      </c>
      <c r="L52">
        <v>1346</v>
      </c>
      <c r="N52">
        <v>1009</v>
      </c>
      <c r="O52" t="s">
        <v>411</v>
      </c>
      <c r="P52" t="s">
        <v>411</v>
      </c>
      <c r="Q52">
        <v>1</v>
      </c>
      <c r="X52">
        <v>2.4E-2</v>
      </c>
      <c r="Y52">
        <v>89.933959999999999</v>
      </c>
      <c r="Z52">
        <v>0</v>
      </c>
      <c r="AA52">
        <v>0</v>
      </c>
      <c r="AB52">
        <v>0</v>
      </c>
      <c r="AC52">
        <v>0</v>
      </c>
      <c r="AD52">
        <v>1</v>
      </c>
      <c r="AE52">
        <v>0</v>
      </c>
      <c r="AF52" t="s">
        <v>3</v>
      </c>
      <c r="AG52">
        <v>2.4E-2</v>
      </c>
      <c r="AH52">
        <v>3</v>
      </c>
      <c r="AI52">
        <v>-1</v>
      </c>
      <c r="AJ52" t="s">
        <v>3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ROW(Source!A129)</f>
        <v>129</v>
      </c>
      <c r="B53">
        <v>1471739354</v>
      </c>
      <c r="C53">
        <v>1471663367</v>
      </c>
      <c r="D53">
        <v>1441819193</v>
      </c>
      <c r="E53">
        <v>15514512</v>
      </c>
      <c r="F53">
        <v>1</v>
      </c>
      <c r="G53">
        <v>15514512</v>
      </c>
      <c r="H53">
        <v>1</v>
      </c>
      <c r="I53" t="s">
        <v>401</v>
      </c>
      <c r="J53" t="s">
        <v>3</v>
      </c>
      <c r="K53" t="s">
        <v>402</v>
      </c>
      <c r="L53">
        <v>1191</v>
      </c>
      <c r="N53">
        <v>1013</v>
      </c>
      <c r="O53" t="s">
        <v>403</v>
      </c>
      <c r="P53" t="s">
        <v>403</v>
      </c>
      <c r="Q53">
        <v>1</v>
      </c>
      <c r="X53">
        <v>1.42</v>
      </c>
      <c r="Y53">
        <v>0</v>
      </c>
      <c r="Z53">
        <v>0</v>
      </c>
      <c r="AA53">
        <v>0</v>
      </c>
      <c r="AB53">
        <v>0</v>
      </c>
      <c r="AC53">
        <v>0</v>
      </c>
      <c r="AD53">
        <v>1</v>
      </c>
      <c r="AE53">
        <v>1</v>
      </c>
      <c r="AF53" t="s">
        <v>3</v>
      </c>
      <c r="AG53">
        <v>1.42</v>
      </c>
      <c r="AH53">
        <v>3</v>
      </c>
      <c r="AI53">
        <v>-1</v>
      </c>
      <c r="AJ53" t="s">
        <v>3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ROW(Source!A129)</f>
        <v>129</v>
      </c>
      <c r="B54">
        <v>1471739355</v>
      </c>
      <c r="C54">
        <v>1471663367</v>
      </c>
      <c r="D54">
        <v>1441833954</v>
      </c>
      <c r="E54">
        <v>1</v>
      </c>
      <c r="F54">
        <v>1</v>
      </c>
      <c r="G54">
        <v>15514512</v>
      </c>
      <c r="H54">
        <v>2</v>
      </c>
      <c r="I54" t="s">
        <v>439</v>
      </c>
      <c r="J54" t="s">
        <v>440</v>
      </c>
      <c r="K54" t="s">
        <v>441</v>
      </c>
      <c r="L54">
        <v>1368</v>
      </c>
      <c r="N54">
        <v>1011</v>
      </c>
      <c r="O54" t="s">
        <v>407</v>
      </c>
      <c r="P54" t="s">
        <v>407</v>
      </c>
      <c r="Q54">
        <v>1</v>
      </c>
      <c r="X54">
        <v>0.03</v>
      </c>
      <c r="Y54">
        <v>0</v>
      </c>
      <c r="Z54">
        <v>59.51</v>
      </c>
      <c r="AA54">
        <v>0.82</v>
      </c>
      <c r="AB54">
        <v>0</v>
      </c>
      <c r="AC54">
        <v>0</v>
      </c>
      <c r="AD54">
        <v>1</v>
      </c>
      <c r="AE54">
        <v>0</v>
      </c>
      <c r="AF54" t="s">
        <v>3</v>
      </c>
      <c r="AG54">
        <v>0.03</v>
      </c>
      <c r="AH54">
        <v>3</v>
      </c>
      <c r="AI54">
        <v>-1</v>
      </c>
      <c r="AJ54" t="s">
        <v>3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ROW(Source!A129)</f>
        <v>129</v>
      </c>
      <c r="B55">
        <v>1471739356</v>
      </c>
      <c r="C55">
        <v>1471663367</v>
      </c>
      <c r="D55">
        <v>1441836235</v>
      </c>
      <c r="E55">
        <v>1</v>
      </c>
      <c r="F55">
        <v>1</v>
      </c>
      <c r="G55">
        <v>15514512</v>
      </c>
      <c r="H55">
        <v>3</v>
      </c>
      <c r="I55" t="s">
        <v>408</v>
      </c>
      <c r="J55" t="s">
        <v>409</v>
      </c>
      <c r="K55" t="s">
        <v>410</v>
      </c>
      <c r="L55">
        <v>1346</v>
      </c>
      <c r="N55">
        <v>1009</v>
      </c>
      <c r="O55" t="s">
        <v>411</v>
      </c>
      <c r="P55" t="s">
        <v>411</v>
      </c>
      <c r="Q55">
        <v>1</v>
      </c>
      <c r="X55">
        <v>0.01</v>
      </c>
      <c r="Y55">
        <v>31.49</v>
      </c>
      <c r="Z55">
        <v>0</v>
      </c>
      <c r="AA55">
        <v>0</v>
      </c>
      <c r="AB55">
        <v>0</v>
      </c>
      <c r="AC55">
        <v>0</v>
      </c>
      <c r="AD55">
        <v>1</v>
      </c>
      <c r="AE55">
        <v>0</v>
      </c>
      <c r="AF55" t="s">
        <v>3</v>
      </c>
      <c r="AG55">
        <v>0.01</v>
      </c>
      <c r="AH55">
        <v>3</v>
      </c>
      <c r="AI55">
        <v>-1</v>
      </c>
      <c r="AJ55" t="s">
        <v>3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ROW(Source!A129)</f>
        <v>129</v>
      </c>
      <c r="B56">
        <v>1471739357</v>
      </c>
      <c r="C56">
        <v>1471663367</v>
      </c>
      <c r="D56">
        <v>1441836393</v>
      </c>
      <c r="E56">
        <v>1</v>
      </c>
      <c r="F56">
        <v>1</v>
      </c>
      <c r="G56">
        <v>15514512</v>
      </c>
      <c r="H56">
        <v>3</v>
      </c>
      <c r="I56" t="s">
        <v>442</v>
      </c>
      <c r="J56" t="s">
        <v>443</v>
      </c>
      <c r="K56" t="s">
        <v>444</v>
      </c>
      <c r="L56">
        <v>1296</v>
      </c>
      <c r="N56">
        <v>1002</v>
      </c>
      <c r="O56" t="s">
        <v>418</v>
      </c>
      <c r="P56" t="s">
        <v>418</v>
      </c>
      <c r="Q56">
        <v>1</v>
      </c>
      <c r="X56">
        <v>1E-4</v>
      </c>
      <c r="Y56">
        <v>4241.6400000000003</v>
      </c>
      <c r="Z56">
        <v>0</v>
      </c>
      <c r="AA56">
        <v>0</v>
      </c>
      <c r="AB56">
        <v>0</v>
      </c>
      <c r="AC56">
        <v>0</v>
      </c>
      <c r="AD56">
        <v>1</v>
      </c>
      <c r="AE56">
        <v>0</v>
      </c>
      <c r="AF56" t="s">
        <v>3</v>
      </c>
      <c r="AG56">
        <v>1E-4</v>
      </c>
      <c r="AH56">
        <v>3</v>
      </c>
      <c r="AI56">
        <v>-1</v>
      </c>
      <c r="AJ56" t="s">
        <v>3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ROW(Source!A130)</f>
        <v>130</v>
      </c>
      <c r="B57">
        <v>1471739382</v>
      </c>
      <c r="C57">
        <v>1471663380</v>
      </c>
      <c r="D57">
        <v>1441819193</v>
      </c>
      <c r="E57">
        <v>15514512</v>
      </c>
      <c r="F57">
        <v>1</v>
      </c>
      <c r="G57">
        <v>15514512</v>
      </c>
      <c r="H57">
        <v>1</v>
      </c>
      <c r="I57" t="s">
        <v>401</v>
      </c>
      <c r="J57" t="s">
        <v>3</v>
      </c>
      <c r="K57" t="s">
        <v>402</v>
      </c>
      <c r="L57">
        <v>1191</v>
      </c>
      <c r="N57">
        <v>1013</v>
      </c>
      <c r="O57" t="s">
        <v>403</v>
      </c>
      <c r="P57" t="s">
        <v>403</v>
      </c>
      <c r="Q57">
        <v>1</v>
      </c>
      <c r="X57">
        <v>0.78</v>
      </c>
      <c r="Y57">
        <v>0</v>
      </c>
      <c r="Z57">
        <v>0</v>
      </c>
      <c r="AA57">
        <v>0</v>
      </c>
      <c r="AB57">
        <v>0</v>
      </c>
      <c r="AC57">
        <v>0</v>
      </c>
      <c r="AD57">
        <v>1</v>
      </c>
      <c r="AE57">
        <v>1</v>
      </c>
      <c r="AF57" t="s">
        <v>163</v>
      </c>
      <c r="AG57">
        <v>2.34</v>
      </c>
      <c r="AH57">
        <v>3</v>
      </c>
      <c r="AI57">
        <v>-1</v>
      </c>
      <c r="AJ57" t="s">
        <v>3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ROW(Source!A130)</f>
        <v>130</v>
      </c>
      <c r="B58">
        <v>1471739383</v>
      </c>
      <c r="C58">
        <v>1471663380</v>
      </c>
      <c r="D58">
        <v>1441836235</v>
      </c>
      <c r="E58">
        <v>1</v>
      </c>
      <c r="F58">
        <v>1</v>
      </c>
      <c r="G58">
        <v>15514512</v>
      </c>
      <c r="H58">
        <v>3</v>
      </c>
      <c r="I58" t="s">
        <v>408</v>
      </c>
      <c r="J58" t="s">
        <v>409</v>
      </c>
      <c r="K58" t="s">
        <v>410</v>
      </c>
      <c r="L58">
        <v>1346</v>
      </c>
      <c r="N58">
        <v>1009</v>
      </c>
      <c r="O58" t="s">
        <v>411</v>
      </c>
      <c r="P58" t="s">
        <v>411</v>
      </c>
      <c r="Q58">
        <v>1</v>
      </c>
      <c r="X58">
        <v>0.01</v>
      </c>
      <c r="Y58">
        <v>31.49</v>
      </c>
      <c r="Z58">
        <v>0</v>
      </c>
      <c r="AA58">
        <v>0</v>
      </c>
      <c r="AB58">
        <v>0</v>
      </c>
      <c r="AC58">
        <v>0</v>
      </c>
      <c r="AD58">
        <v>1</v>
      </c>
      <c r="AE58">
        <v>0</v>
      </c>
      <c r="AF58" t="s">
        <v>163</v>
      </c>
      <c r="AG58">
        <v>0.03</v>
      </c>
      <c r="AH58">
        <v>3</v>
      </c>
      <c r="AI58">
        <v>-1</v>
      </c>
      <c r="AJ58" t="s">
        <v>3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ROW(Source!A131)</f>
        <v>131</v>
      </c>
      <c r="B59">
        <v>1471739407</v>
      </c>
      <c r="C59">
        <v>1471663387</v>
      </c>
      <c r="D59">
        <v>1441819193</v>
      </c>
      <c r="E59">
        <v>15514512</v>
      </c>
      <c r="F59">
        <v>1</v>
      </c>
      <c r="G59">
        <v>15514512</v>
      </c>
      <c r="H59">
        <v>1</v>
      </c>
      <c r="I59" t="s">
        <v>401</v>
      </c>
      <c r="J59" t="s">
        <v>3</v>
      </c>
      <c r="K59" t="s">
        <v>402</v>
      </c>
      <c r="L59">
        <v>1191</v>
      </c>
      <c r="N59">
        <v>1013</v>
      </c>
      <c r="O59" t="s">
        <v>403</v>
      </c>
      <c r="P59" t="s">
        <v>403</v>
      </c>
      <c r="Q59">
        <v>1</v>
      </c>
      <c r="X59">
        <v>2.48</v>
      </c>
      <c r="Y59">
        <v>0</v>
      </c>
      <c r="Z59">
        <v>0</v>
      </c>
      <c r="AA59">
        <v>0</v>
      </c>
      <c r="AB59">
        <v>0</v>
      </c>
      <c r="AC59">
        <v>0</v>
      </c>
      <c r="AD59">
        <v>1</v>
      </c>
      <c r="AE59">
        <v>1</v>
      </c>
      <c r="AF59" t="s">
        <v>3</v>
      </c>
      <c r="AG59">
        <v>2.48</v>
      </c>
      <c r="AH59">
        <v>3</v>
      </c>
      <c r="AI59">
        <v>-1</v>
      </c>
      <c r="AJ59" t="s">
        <v>3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ROW(Source!A131)</f>
        <v>131</v>
      </c>
      <c r="B60">
        <v>1471739408</v>
      </c>
      <c r="C60">
        <v>1471663387</v>
      </c>
      <c r="D60">
        <v>1441834146</v>
      </c>
      <c r="E60">
        <v>1</v>
      </c>
      <c r="F60">
        <v>1</v>
      </c>
      <c r="G60">
        <v>15514512</v>
      </c>
      <c r="H60">
        <v>2</v>
      </c>
      <c r="I60" t="s">
        <v>445</v>
      </c>
      <c r="J60" t="s">
        <v>446</v>
      </c>
      <c r="K60" t="s">
        <v>447</v>
      </c>
      <c r="L60">
        <v>1368</v>
      </c>
      <c r="N60">
        <v>1011</v>
      </c>
      <c r="O60" t="s">
        <v>407</v>
      </c>
      <c r="P60" t="s">
        <v>407</v>
      </c>
      <c r="Q60">
        <v>1</v>
      </c>
      <c r="X60">
        <v>0.17</v>
      </c>
      <c r="Y60">
        <v>0</v>
      </c>
      <c r="Z60">
        <v>20.55</v>
      </c>
      <c r="AA60">
        <v>0.31</v>
      </c>
      <c r="AB60">
        <v>0</v>
      </c>
      <c r="AC60">
        <v>0</v>
      </c>
      <c r="AD60">
        <v>1</v>
      </c>
      <c r="AE60">
        <v>0</v>
      </c>
      <c r="AF60" t="s">
        <v>3</v>
      </c>
      <c r="AG60">
        <v>0.17</v>
      </c>
      <c r="AH60">
        <v>3</v>
      </c>
      <c r="AI60">
        <v>-1</v>
      </c>
      <c r="AJ60" t="s">
        <v>3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ROW(Source!A131)</f>
        <v>131</v>
      </c>
      <c r="B61">
        <v>1471739409</v>
      </c>
      <c r="C61">
        <v>1471663387</v>
      </c>
      <c r="D61">
        <v>1441836235</v>
      </c>
      <c r="E61">
        <v>1</v>
      </c>
      <c r="F61">
        <v>1</v>
      </c>
      <c r="G61">
        <v>15514512</v>
      </c>
      <c r="H61">
        <v>3</v>
      </c>
      <c r="I61" t="s">
        <v>408</v>
      </c>
      <c r="J61" t="s">
        <v>409</v>
      </c>
      <c r="K61" t="s">
        <v>410</v>
      </c>
      <c r="L61">
        <v>1346</v>
      </c>
      <c r="N61">
        <v>1009</v>
      </c>
      <c r="O61" t="s">
        <v>411</v>
      </c>
      <c r="P61" t="s">
        <v>411</v>
      </c>
      <c r="Q61">
        <v>1</v>
      </c>
      <c r="X61">
        <v>0.03</v>
      </c>
      <c r="Y61">
        <v>31.49</v>
      </c>
      <c r="Z61">
        <v>0</v>
      </c>
      <c r="AA61">
        <v>0</v>
      </c>
      <c r="AB61">
        <v>0</v>
      </c>
      <c r="AC61">
        <v>0</v>
      </c>
      <c r="AD61">
        <v>1</v>
      </c>
      <c r="AE61">
        <v>0</v>
      </c>
      <c r="AF61" t="s">
        <v>3</v>
      </c>
      <c r="AG61">
        <v>0.03</v>
      </c>
      <c r="AH61">
        <v>3</v>
      </c>
      <c r="AI61">
        <v>-1</v>
      </c>
      <c r="AJ61" t="s">
        <v>3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ROW(Source!A132)</f>
        <v>132</v>
      </c>
      <c r="B62">
        <v>1471739430</v>
      </c>
      <c r="C62">
        <v>1471663397</v>
      </c>
      <c r="D62">
        <v>1441819193</v>
      </c>
      <c r="E62">
        <v>15514512</v>
      </c>
      <c r="F62">
        <v>1</v>
      </c>
      <c r="G62">
        <v>15514512</v>
      </c>
      <c r="H62">
        <v>1</v>
      </c>
      <c r="I62" t="s">
        <v>401</v>
      </c>
      <c r="J62" t="s">
        <v>3</v>
      </c>
      <c r="K62" t="s">
        <v>402</v>
      </c>
      <c r="L62">
        <v>1191</v>
      </c>
      <c r="N62">
        <v>1013</v>
      </c>
      <c r="O62" t="s">
        <v>403</v>
      </c>
      <c r="P62" t="s">
        <v>403</v>
      </c>
      <c r="Q62">
        <v>1</v>
      </c>
      <c r="X62">
        <v>1.86</v>
      </c>
      <c r="Y62">
        <v>0</v>
      </c>
      <c r="Z62">
        <v>0</v>
      </c>
      <c r="AA62">
        <v>0</v>
      </c>
      <c r="AB62">
        <v>0</v>
      </c>
      <c r="AC62">
        <v>0</v>
      </c>
      <c r="AD62">
        <v>1</v>
      </c>
      <c r="AE62">
        <v>1</v>
      </c>
      <c r="AF62" t="s">
        <v>163</v>
      </c>
      <c r="AG62">
        <v>5.58</v>
      </c>
      <c r="AH62">
        <v>3</v>
      </c>
      <c r="AI62">
        <v>-1</v>
      </c>
      <c r="AJ62" t="s">
        <v>3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ROW(Source!A132)</f>
        <v>132</v>
      </c>
      <c r="B63">
        <v>1471739431</v>
      </c>
      <c r="C63">
        <v>1471663397</v>
      </c>
      <c r="D63">
        <v>1441834146</v>
      </c>
      <c r="E63">
        <v>1</v>
      </c>
      <c r="F63">
        <v>1</v>
      </c>
      <c r="G63">
        <v>15514512</v>
      </c>
      <c r="H63">
        <v>2</v>
      </c>
      <c r="I63" t="s">
        <v>445</v>
      </c>
      <c r="J63" t="s">
        <v>446</v>
      </c>
      <c r="K63" t="s">
        <v>447</v>
      </c>
      <c r="L63">
        <v>1368</v>
      </c>
      <c r="N63">
        <v>1011</v>
      </c>
      <c r="O63" t="s">
        <v>407</v>
      </c>
      <c r="P63" t="s">
        <v>407</v>
      </c>
      <c r="Q63">
        <v>1</v>
      </c>
      <c r="X63">
        <v>0.17</v>
      </c>
      <c r="Y63">
        <v>0</v>
      </c>
      <c r="Z63">
        <v>20.55</v>
      </c>
      <c r="AA63">
        <v>0.31</v>
      </c>
      <c r="AB63">
        <v>0</v>
      </c>
      <c r="AC63">
        <v>0</v>
      </c>
      <c r="AD63">
        <v>1</v>
      </c>
      <c r="AE63">
        <v>0</v>
      </c>
      <c r="AF63" t="s">
        <v>163</v>
      </c>
      <c r="AG63">
        <v>0.51</v>
      </c>
      <c r="AH63">
        <v>3</v>
      </c>
      <c r="AI63">
        <v>-1</v>
      </c>
      <c r="AJ63" t="s">
        <v>3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ROW(Source!A132)</f>
        <v>132</v>
      </c>
      <c r="B64">
        <v>1471739432</v>
      </c>
      <c r="C64">
        <v>1471663397</v>
      </c>
      <c r="D64">
        <v>1441836235</v>
      </c>
      <c r="E64">
        <v>1</v>
      </c>
      <c r="F64">
        <v>1</v>
      </c>
      <c r="G64">
        <v>15514512</v>
      </c>
      <c r="H64">
        <v>3</v>
      </c>
      <c r="I64" t="s">
        <v>408</v>
      </c>
      <c r="J64" t="s">
        <v>409</v>
      </c>
      <c r="K64" t="s">
        <v>410</v>
      </c>
      <c r="L64">
        <v>1346</v>
      </c>
      <c r="N64">
        <v>1009</v>
      </c>
      <c r="O64" t="s">
        <v>411</v>
      </c>
      <c r="P64" t="s">
        <v>411</v>
      </c>
      <c r="Q64">
        <v>1</v>
      </c>
      <c r="X64">
        <v>0.03</v>
      </c>
      <c r="Y64">
        <v>31.49</v>
      </c>
      <c r="Z64">
        <v>0</v>
      </c>
      <c r="AA64">
        <v>0</v>
      </c>
      <c r="AB64">
        <v>0</v>
      </c>
      <c r="AC64">
        <v>0</v>
      </c>
      <c r="AD64">
        <v>1</v>
      </c>
      <c r="AE64">
        <v>0</v>
      </c>
      <c r="AF64" t="s">
        <v>163</v>
      </c>
      <c r="AG64">
        <v>0.09</v>
      </c>
      <c r="AH64">
        <v>3</v>
      </c>
      <c r="AI64">
        <v>-1</v>
      </c>
      <c r="AJ64" t="s">
        <v>3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ROW(Source!A133)</f>
        <v>133</v>
      </c>
      <c r="B65">
        <v>1471739459</v>
      </c>
      <c r="C65">
        <v>1471663407</v>
      </c>
      <c r="D65">
        <v>1441819193</v>
      </c>
      <c r="E65">
        <v>15514512</v>
      </c>
      <c r="F65">
        <v>1</v>
      </c>
      <c r="G65">
        <v>15514512</v>
      </c>
      <c r="H65">
        <v>1</v>
      </c>
      <c r="I65" t="s">
        <v>401</v>
      </c>
      <c r="J65" t="s">
        <v>3</v>
      </c>
      <c r="K65" t="s">
        <v>402</v>
      </c>
      <c r="L65">
        <v>1191</v>
      </c>
      <c r="N65">
        <v>1013</v>
      </c>
      <c r="O65" t="s">
        <v>403</v>
      </c>
      <c r="P65" t="s">
        <v>403</v>
      </c>
      <c r="Q65">
        <v>1</v>
      </c>
      <c r="X65">
        <v>1.72</v>
      </c>
      <c r="Y65">
        <v>0</v>
      </c>
      <c r="Z65">
        <v>0</v>
      </c>
      <c r="AA65">
        <v>0</v>
      </c>
      <c r="AB65">
        <v>0</v>
      </c>
      <c r="AC65">
        <v>0</v>
      </c>
      <c r="AD65">
        <v>1</v>
      </c>
      <c r="AE65">
        <v>1</v>
      </c>
      <c r="AF65" t="s">
        <v>3</v>
      </c>
      <c r="AG65">
        <v>1.72</v>
      </c>
      <c r="AH65">
        <v>3</v>
      </c>
      <c r="AI65">
        <v>-1</v>
      </c>
      <c r="AJ65" t="s">
        <v>3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ROW(Source!A133)</f>
        <v>133</v>
      </c>
      <c r="B66">
        <v>1471739460</v>
      </c>
      <c r="C66">
        <v>1471663407</v>
      </c>
      <c r="D66">
        <v>1441834146</v>
      </c>
      <c r="E66">
        <v>1</v>
      </c>
      <c r="F66">
        <v>1</v>
      </c>
      <c r="G66">
        <v>15514512</v>
      </c>
      <c r="H66">
        <v>2</v>
      </c>
      <c r="I66" t="s">
        <v>445</v>
      </c>
      <c r="J66" t="s">
        <v>446</v>
      </c>
      <c r="K66" t="s">
        <v>447</v>
      </c>
      <c r="L66">
        <v>1368</v>
      </c>
      <c r="N66">
        <v>1011</v>
      </c>
      <c r="O66" t="s">
        <v>407</v>
      </c>
      <c r="P66" t="s">
        <v>407</v>
      </c>
      <c r="Q66">
        <v>1</v>
      </c>
      <c r="X66">
        <v>0.2</v>
      </c>
      <c r="Y66">
        <v>0</v>
      </c>
      <c r="Z66">
        <v>20.55</v>
      </c>
      <c r="AA66">
        <v>0.31</v>
      </c>
      <c r="AB66">
        <v>0</v>
      </c>
      <c r="AC66">
        <v>0</v>
      </c>
      <c r="AD66">
        <v>1</v>
      </c>
      <c r="AE66">
        <v>0</v>
      </c>
      <c r="AF66" t="s">
        <v>3</v>
      </c>
      <c r="AG66">
        <v>0.2</v>
      </c>
      <c r="AH66">
        <v>3</v>
      </c>
      <c r="AI66">
        <v>-1</v>
      </c>
      <c r="AJ66" t="s">
        <v>3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ROW(Source!A133)</f>
        <v>133</v>
      </c>
      <c r="B67">
        <v>1471739461</v>
      </c>
      <c r="C67">
        <v>1471663407</v>
      </c>
      <c r="D67">
        <v>1441836235</v>
      </c>
      <c r="E67">
        <v>1</v>
      </c>
      <c r="F67">
        <v>1</v>
      </c>
      <c r="G67">
        <v>15514512</v>
      </c>
      <c r="H67">
        <v>3</v>
      </c>
      <c r="I67" t="s">
        <v>408</v>
      </c>
      <c r="J67" t="s">
        <v>409</v>
      </c>
      <c r="K67" t="s">
        <v>410</v>
      </c>
      <c r="L67">
        <v>1346</v>
      </c>
      <c r="N67">
        <v>1009</v>
      </c>
      <c r="O67" t="s">
        <v>411</v>
      </c>
      <c r="P67" t="s">
        <v>411</v>
      </c>
      <c r="Q67">
        <v>1</v>
      </c>
      <c r="X67">
        <v>0.06</v>
      </c>
      <c r="Y67">
        <v>31.49</v>
      </c>
      <c r="Z67">
        <v>0</v>
      </c>
      <c r="AA67">
        <v>0</v>
      </c>
      <c r="AB67">
        <v>0</v>
      </c>
      <c r="AC67">
        <v>0</v>
      </c>
      <c r="AD67">
        <v>1</v>
      </c>
      <c r="AE67">
        <v>0</v>
      </c>
      <c r="AF67" t="s">
        <v>3</v>
      </c>
      <c r="AG67">
        <v>0.06</v>
      </c>
      <c r="AH67">
        <v>3</v>
      </c>
      <c r="AI67">
        <v>-1</v>
      </c>
      <c r="AJ67" t="s">
        <v>3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ROW(Source!A133)</f>
        <v>133</v>
      </c>
      <c r="B68">
        <v>1471739462</v>
      </c>
      <c r="C68">
        <v>1471663407</v>
      </c>
      <c r="D68">
        <v>1441836393</v>
      </c>
      <c r="E68">
        <v>1</v>
      </c>
      <c r="F68">
        <v>1</v>
      </c>
      <c r="G68">
        <v>15514512</v>
      </c>
      <c r="H68">
        <v>3</v>
      </c>
      <c r="I68" t="s">
        <v>442</v>
      </c>
      <c r="J68" t="s">
        <v>443</v>
      </c>
      <c r="K68" t="s">
        <v>444</v>
      </c>
      <c r="L68">
        <v>1296</v>
      </c>
      <c r="N68">
        <v>1002</v>
      </c>
      <c r="O68" t="s">
        <v>418</v>
      </c>
      <c r="P68" t="s">
        <v>418</v>
      </c>
      <c r="Q68">
        <v>1</v>
      </c>
      <c r="X68">
        <v>5.9999999999999995E-4</v>
      </c>
      <c r="Y68">
        <v>4241.6400000000003</v>
      </c>
      <c r="Z68">
        <v>0</v>
      </c>
      <c r="AA68">
        <v>0</v>
      </c>
      <c r="AB68">
        <v>0</v>
      </c>
      <c r="AC68">
        <v>0</v>
      </c>
      <c r="AD68">
        <v>1</v>
      </c>
      <c r="AE68">
        <v>0</v>
      </c>
      <c r="AF68" t="s">
        <v>3</v>
      </c>
      <c r="AG68">
        <v>5.9999999999999995E-4</v>
      </c>
      <c r="AH68">
        <v>3</v>
      </c>
      <c r="AI68">
        <v>-1</v>
      </c>
      <c r="AJ68" t="s">
        <v>3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ROW(Source!A134)</f>
        <v>134</v>
      </c>
      <c r="B69">
        <v>1471739495</v>
      </c>
      <c r="C69">
        <v>1471663420</v>
      </c>
      <c r="D69">
        <v>1441819193</v>
      </c>
      <c r="E69">
        <v>15514512</v>
      </c>
      <c r="F69">
        <v>1</v>
      </c>
      <c r="G69">
        <v>15514512</v>
      </c>
      <c r="H69">
        <v>1</v>
      </c>
      <c r="I69" t="s">
        <v>401</v>
      </c>
      <c r="J69" t="s">
        <v>3</v>
      </c>
      <c r="K69" t="s">
        <v>402</v>
      </c>
      <c r="L69">
        <v>1191</v>
      </c>
      <c r="N69">
        <v>1013</v>
      </c>
      <c r="O69" t="s">
        <v>403</v>
      </c>
      <c r="P69" t="s">
        <v>403</v>
      </c>
      <c r="Q69">
        <v>1</v>
      </c>
      <c r="X69">
        <v>1.02</v>
      </c>
      <c r="Y69">
        <v>0</v>
      </c>
      <c r="Z69">
        <v>0</v>
      </c>
      <c r="AA69">
        <v>0</v>
      </c>
      <c r="AB69">
        <v>0</v>
      </c>
      <c r="AC69">
        <v>0</v>
      </c>
      <c r="AD69">
        <v>1</v>
      </c>
      <c r="AE69">
        <v>1</v>
      </c>
      <c r="AF69" t="s">
        <v>163</v>
      </c>
      <c r="AG69">
        <v>3.06</v>
      </c>
      <c r="AH69">
        <v>3</v>
      </c>
      <c r="AI69">
        <v>-1</v>
      </c>
      <c r="AJ69" t="s">
        <v>3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ROW(Source!A134)</f>
        <v>134</v>
      </c>
      <c r="B70">
        <v>1471739496</v>
      </c>
      <c r="C70">
        <v>1471663420</v>
      </c>
      <c r="D70">
        <v>1441836235</v>
      </c>
      <c r="E70">
        <v>1</v>
      </c>
      <c r="F70">
        <v>1</v>
      </c>
      <c r="G70">
        <v>15514512</v>
      </c>
      <c r="H70">
        <v>3</v>
      </c>
      <c r="I70" t="s">
        <v>408</v>
      </c>
      <c r="J70" t="s">
        <v>409</v>
      </c>
      <c r="K70" t="s">
        <v>410</v>
      </c>
      <c r="L70">
        <v>1346</v>
      </c>
      <c r="N70">
        <v>1009</v>
      </c>
      <c r="O70" t="s">
        <v>411</v>
      </c>
      <c r="P70" t="s">
        <v>411</v>
      </c>
      <c r="Q70">
        <v>1</v>
      </c>
      <c r="X70">
        <v>0.03</v>
      </c>
      <c r="Y70">
        <v>31.49</v>
      </c>
      <c r="Z70">
        <v>0</v>
      </c>
      <c r="AA70">
        <v>0</v>
      </c>
      <c r="AB70">
        <v>0</v>
      </c>
      <c r="AC70">
        <v>0</v>
      </c>
      <c r="AD70">
        <v>1</v>
      </c>
      <c r="AE70">
        <v>0</v>
      </c>
      <c r="AF70" t="s">
        <v>163</v>
      </c>
      <c r="AG70">
        <v>0.09</v>
      </c>
      <c r="AH70">
        <v>3</v>
      </c>
      <c r="AI70">
        <v>-1</v>
      </c>
      <c r="AJ70" t="s">
        <v>3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ROW(Source!A171)</f>
        <v>171</v>
      </c>
      <c r="B71">
        <v>1471739520</v>
      </c>
      <c r="C71">
        <v>1471663428</v>
      </c>
      <c r="D71">
        <v>1441819193</v>
      </c>
      <c r="E71">
        <v>15514512</v>
      </c>
      <c r="F71">
        <v>1</v>
      </c>
      <c r="G71">
        <v>15514512</v>
      </c>
      <c r="H71">
        <v>1</v>
      </c>
      <c r="I71" t="s">
        <v>401</v>
      </c>
      <c r="J71" t="s">
        <v>3</v>
      </c>
      <c r="K71" t="s">
        <v>402</v>
      </c>
      <c r="L71">
        <v>1191</v>
      </c>
      <c r="N71">
        <v>1013</v>
      </c>
      <c r="O71" t="s">
        <v>403</v>
      </c>
      <c r="P71" t="s">
        <v>403</v>
      </c>
      <c r="Q71">
        <v>1</v>
      </c>
      <c r="X71">
        <v>24</v>
      </c>
      <c r="Y71">
        <v>0</v>
      </c>
      <c r="Z71">
        <v>0</v>
      </c>
      <c r="AA71">
        <v>0</v>
      </c>
      <c r="AB71">
        <v>0</v>
      </c>
      <c r="AC71">
        <v>0</v>
      </c>
      <c r="AD71">
        <v>1</v>
      </c>
      <c r="AE71">
        <v>1</v>
      </c>
      <c r="AF71" t="s">
        <v>3</v>
      </c>
      <c r="AG71">
        <v>24</v>
      </c>
      <c r="AH71">
        <v>3</v>
      </c>
      <c r="AI71">
        <v>-1</v>
      </c>
      <c r="AJ71" t="s">
        <v>3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ROW(Source!A171)</f>
        <v>171</v>
      </c>
      <c r="B72">
        <v>1471739522</v>
      </c>
      <c r="C72">
        <v>1471663428</v>
      </c>
      <c r="D72">
        <v>1441836237</v>
      </c>
      <c r="E72">
        <v>1</v>
      </c>
      <c r="F72">
        <v>1</v>
      </c>
      <c r="G72">
        <v>15514512</v>
      </c>
      <c r="H72">
        <v>3</v>
      </c>
      <c r="I72" t="s">
        <v>448</v>
      </c>
      <c r="J72" t="s">
        <v>449</v>
      </c>
      <c r="K72" t="s">
        <v>450</v>
      </c>
      <c r="L72">
        <v>1346</v>
      </c>
      <c r="N72">
        <v>1009</v>
      </c>
      <c r="O72" t="s">
        <v>411</v>
      </c>
      <c r="P72" t="s">
        <v>411</v>
      </c>
      <c r="Q72">
        <v>1</v>
      </c>
      <c r="X72">
        <v>0.48</v>
      </c>
      <c r="Y72">
        <v>375.16</v>
      </c>
      <c r="Z72">
        <v>0</v>
      </c>
      <c r="AA72">
        <v>0</v>
      </c>
      <c r="AB72">
        <v>0</v>
      </c>
      <c r="AC72">
        <v>0</v>
      </c>
      <c r="AD72">
        <v>1</v>
      </c>
      <c r="AE72">
        <v>0</v>
      </c>
      <c r="AF72" t="s">
        <v>3</v>
      </c>
      <c r="AG72">
        <v>0.48</v>
      </c>
      <c r="AH72">
        <v>3</v>
      </c>
      <c r="AI72">
        <v>-1</v>
      </c>
      <c r="AJ72" t="s">
        <v>3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ROW(Source!A171)</f>
        <v>171</v>
      </c>
      <c r="B73">
        <v>1471739523</v>
      </c>
      <c r="C73">
        <v>1471663428</v>
      </c>
      <c r="D73">
        <v>1441836235</v>
      </c>
      <c r="E73">
        <v>1</v>
      </c>
      <c r="F73">
        <v>1</v>
      </c>
      <c r="G73">
        <v>15514512</v>
      </c>
      <c r="H73">
        <v>3</v>
      </c>
      <c r="I73" t="s">
        <v>408</v>
      </c>
      <c r="J73" t="s">
        <v>409</v>
      </c>
      <c r="K73" t="s">
        <v>410</v>
      </c>
      <c r="L73">
        <v>1346</v>
      </c>
      <c r="N73">
        <v>1009</v>
      </c>
      <c r="O73" t="s">
        <v>411</v>
      </c>
      <c r="P73" t="s">
        <v>411</v>
      </c>
      <c r="Q73">
        <v>1</v>
      </c>
      <c r="X73">
        <v>0.14000000000000001</v>
      </c>
      <c r="Y73">
        <v>31.49</v>
      </c>
      <c r="Z73">
        <v>0</v>
      </c>
      <c r="AA73">
        <v>0</v>
      </c>
      <c r="AB73">
        <v>0</v>
      </c>
      <c r="AC73">
        <v>0</v>
      </c>
      <c r="AD73">
        <v>1</v>
      </c>
      <c r="AE73">
        <v>0</v>
      </c>
      <c r="AF73" t="s">
        <v>3</v>
      </c>
      <c r="AG73">
        <v>0.14000000000000001</v>
      </c>
      <c r="AH73">
        <v>3</v>
      </c>
      <c r="AI73">
        <v>-1</v>
      </c>
      <c r="AJ73" t="s">
        <v>3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ROW(Source!A171)</f>
        <v>171</v>
      </c>
      <c r="B74">
        <v>1471739521</v>
      </c>
      <c r="C74">
        <v>1471663428</v>
      </c>
      <c r="D74">
        <v>1441822228</v>
      </c>
      <c r="E74">
        <v>15514512</v>
      </c>
      <c r="F74">
        <v>1</v>
      </c>
      <c r="G74">
        <v>15514512</v>
      </c>
      <c r="H74">
        <v>3</v>
      </c>
      <c r="I74" t="s">
        <v>451</v>
      </c>
      <c r="J74" t="s">
        <v>3</v>
      </c>
      <c r="K74" t="s">
        <v>452</v>
      </c>
      <c r="L74">
        <v>1346</v>
      </c>
      <c r="N74">
        <v>1009</v>
      </c>
      <c r="O74" t="s">
        <v>411</v>
      </c>
      <c r="P74" t="s">
        <v>411</v>
      </c>
      <c r="Q74">
        <v>1</v>
      </c>
      <c r="X74">
        <v>0.14000000000000001</v>
      </c>
      <c r="Y74">
        <v>73.951729999999998</v>
      </c>
      <c r="Z74">
        <v>0</v>
      </c>
      <c r="AA74">
        <v>0</v>
      </c>
      <c r="AB74">
        <v>0</v>
      </c>
      <c r="AC74">
        <v>0</v>
      </c>
      <c r="AD74">
        <v>1</v>
      </c>
      <c r="AE74">
        <v>0</v>
      </c>
      <c r="AF74" t="s">
        <v>3</v>
      </c>
      <c r="AG74">
        <v>0.14000000000000001</v>
      </c>
      <c r="AH74">
        <v>3</v>
      </c>
      <c r="AI74">
        <v>-1</v>
      </c>
      <c r="AJ74" t="s">
        <v>3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ROW(Source!A171)</f>
        <v>171</v>
      </c>
      <c r="B75">
        <v>1471739524</v>
      </c>
      <c r="C75">
        <v>1471663428</v>
      </c>
      <c r="D75">
        <v>1441834920</v>
      </c>
      <c r="E75">
        <v>1</v>
      </c>
      <c r="F75">
        <v>1</v>
      </c>
      <c r="G75">
        <v>15514512</v>
      </c>
      <c r="H75">
        <v>3</v>
      </c>
      <c r="I75" t="s">
        <v>453</v>
      </c>
      <c r="J75" t="s">
        <v>454</v>
      </c>
      <c r="K75" t="s">
        <v>455</v>
      </c>
      <c r="L75">
        <v>1346</v>
      </c>
      <c r="N75">
        <v>1009</v>
      </c>
      <c r="O75" t="s">
        <v>411</v>
      </c>
      <c r="P75" t="s">
        <v>411</v>
      </c>
      <c r="Q75">
        <v>1</v>
      </c>
      <c r="X75">
        <v>0.1</v>
      </c>
      <c r="Y75">
        <v>106.87</v>
      </c>
      <c r="Z75">
        <v>0</v>
      </c>
      <c r="AA75">
        <v>0</v>
      </c>
      <c r="AB75">
        <v>0</v>
      </c>
      <c r="AC75">
        <v>0</v>
      </c>
      <c r="AD75">
        <v>1</v>
      </c>
      <c r="AE75">
        <v>0</v>
      </c>
      <c r="AF75" t="s">
        <v>3</v>
      </c>
      <c r="AG75">
        <v>0.1</v>
      </c>
      <c r="AH75">
        <v>3</v>
      </c>
      <c r="AI75">
        <v>-1</v>
      </c>
      <c r="AJ75" t="s">
        <v>3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ROW(Source!A172)</f>
        <v>172</v>
      </c>
      <c r="B76">
        <v>1471739583</v>
      </c>
      <c r="C76">
        <v>1471663444</v>
      </c>
      <c r="D76">
        <v>1441819193</v>
      </c>
      <c r="E76">
        <v>15514512</v>
      </c>
      <c r="F76">
        <v>1</v>
      </c>
      <c r="G76">
        <v>15514512</v>
      </c>
      <c r="H76">
        <v>1</v>
      </c>
      <c r="I76" t="s">
        <v>401</v>
      </c>
      <c r="J76" t="s">
        <v>3</v>
      </c>
      <c r="K76" t="s">
        <v>402</v>
      </c>
      <c r="L76">
        <v>1191</v>
      </c>
      <c r="N76">
        <v>1013</v>
      </c>
      <c r="O76" t="s">
        <v>403</v>
      </c>
      <c r="P76" t="s">
        <v>403</v>
      </c>
      <c r="Q76">
        <v>1</v>
      </c>
      <c r="X76">
        <v>0.8</v>
      </c>
      <c r="Y76">
        <v>0</v>
      </c>
      <c r="Z76">
        <v>0</v>
      </c>
      <c r="AA76">
        <v>0</v>
      </c>
      <c r="AB76">
        <v>0</v>
      </c>
      <c r="AC76">
        <v>0</v>
      </c>
      <c r="AD76">
        <v>1</v>
      </c>
      <c r="AE76">
        <v>1</v>
      </c>
      <c r="AF76" t="s">
        <v>163</v>
      </c>
      <c r="AG76">
        <v>2.4000000000000004</v>
      </c>
      <c r="AH76">
        <v>3</v>
      </c>
      <c r="AI76">
        <v>-1</v>
      </c>
      <c r="AJ76" t="s">
        <v>3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ROW(Source!A172)</f>
        <v>172</v>
      </c>
      <c r="B77">
        <v>1471739584</v>
      </c>
      <c r="C77">
        <v>1471663444</v>
      </c>
      <c r="D77">
        <v>1441822228</v>
      </c>
      <c r="E77">
        <v>15514512</v>
      </c>
      <c r="F77">
        <v>1</v>
      </c>
      <c r="G77">
        <v>15514512</v>
      </c>
      <c r="H77">
        <v>3</v>
      </c>
      <c r="I77" t="s">
        <v>451</v>
      </c>
      <c r="J77" t="s">
        <v>3</v>
      </c>
      <c r="K77" t="s">
        <v>452</v>
      </c>
      <c r="L77">
        <v>1346</v>
      </c>
      <c r="N77">
        <v>1009</v>
      </c>
      <c r="O77" t="s">
        <v>411</v>
      </c>
      <c r="P77" t="s">
        <v>411</v>
      </c>
      <c r="Q77">
        <v>1</v>
      </c>
      <c r="X77">
        <v>0.01</v>
      </c>
      <c r="Y77">
        <v>73.951729999999998</v>
      </c>
      <c r="Z77">
        <v>0</v>
      </c>
      <c r="AA77">
        <v>0</v>
      </c>
      <c r="AB77">
        <v>0</v>
      </c>
      <c r="AC77">
        <v>0</v>
      </c>
      <c r="AD77">
        <v>1</v>
      </c>
      <c r="AE77">
        <v>0</v>
      </c>
      <c r="AF77" t="s">
        <v>163</v>
      </c>
      <c r="AG77">
        <v>0.03</v>
      </c>
      <c r="AH77">
        <v>3</v>
      </c>
      <c r="AI77">
        <v>-1</v>
      </c>
      <c r="AJ77" t="s">
        <v>3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ROW(Source!A173)</f>
        <v>173</v>
      </c>
      <c r="B78">
        <v>1471739657</v>
      </c>
      <c r="C78">
        <v>1471663451</v>
      </c>
      <c r="D78">
        <v>1441819193</v>
      </c>
      <c r="E78">
        <v>15514512</v>
      </c>
      <c r="F78">
        <v>1</v>
      </c>
      <c r="G78">
        <v>15514512</v>
      </c>
      <c r="H78">
        <v>1</v>
      </c>
      <c r="I78" t="s">
        <v>401</v>
      </c>
      <c r="J78" t="s">
        <v>3</v>
      </c>
      <c r="K78" t="s">
        <v>402</v>
      </c>
      <c r="L78">
        <v>1191</v>
      </c>
      <c r="N78">
        <v>1013</v>
      </c>
      <c r="O78" t="s">
        <v>403</v>
      </c>
      <c r="P78" t="s">
        <v>403</v>
      </c>
      <c r="Q78">
        <v>1</v>
      </c>
      <c r="X78">
        <v>0.05</v>
      </c>
      <c r="Y78">
        <v>0</v>
      </c>
      <c r="Z78">
        <v>0</v>
      </c>
      <c r="AA78">
        <v>0</v>
      </c>
      <c r="AB78">
        <v>0</v>
      </c>
      <c r="AC78">
        <v>0</v>
      </c>
      <c r="AD78">
        <v>1</v>
      </c>
      <c r="AE78">
        <v>1</v>
      </c>
      <c r="AF78" t="s">
        <v>163</v>
      </c>
      <c r="AG78">
        <v>0.15000000000000002</v>
      </c>
      <c r="AH78">
        <v>3</v>
      </c>
      <c r="AI78">
        <v>-1</v>
      </c>
      <c r="AJ78" t="s">
        <v>3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ROW(Source!A174)</f>
        <v>174</v>
      </c>
      <c r="B79">
        <v>1471739658</v>
      </c>
      <c r="C79">
        <v>1471663455</v>
      </c>
      <c r="D79">
        <v>1441819193</v>
      </c>
      <c r="E79">
        <v>15514512</v>
      </c>
      <c r="F79">
        <v>1</v>
      </c>
      <c r="G79">
        <v>15514512</v>
      </c>
      <c r="H79">
        <v>1</v>
      </c>
      <c r="I79" t="s">
        <v>401</v>
      </c>
      <c r="J79" t="s">
        <v>3</v>
      </c>
      <c r="K79" t="s">
        <v>402</v>
      </c>
      <c r="L79">
        <v>1191</v>
      </c>
      <c r="N79">
        <v>1013</v>
      </c>
      <c r="O79" t="s">
        <v>403</v>
      </c>
      <c r="P79" t="s">
        <v>403</v>
      </c>
      <c r="Q79">
        <v>1</v>
      </c>
      <c r="X79">
        <v>1.5</v>
      </c>
      <c r="Y79">
        <v>0</v>
      </c>
      <c r="Z79">
        <v>0</v>
      </c>
      <c r="AA79">
        <v>0</v>
      </c>
      <c r="AB79">
        <v>0</v>
      </c>
      <c r="AC79">
        <v>0</v>
      </c>
      <c r="AD79">
        <v>1</v>
      </c>
      <c r="AE79">
        <v>1</v>
      </c>
      <c r="AF79" t="s">
        <v>3</v>
      </c>
      <c r="AG79">
        <v>1.5</v>
      </c>
      <c r="AH79">
        <v>3</v>
      </c>
      <c r="AI79">
        <v>-1</v>
      </c>
      <c r="AJ79" t="s">
        <v>3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ROW(Source!A174)</f>
        <v>174</v>
      </c>
      <c r="B80">
        <v>1471739660</v>
      </c>
      <c r="C80">
        <v>1471663455</v>
      </c>
      <c r="D80">
        <v>1441820422</v>
      </c>
      <c r="E80">
        <v>15514512</v>
      </c>
      <c r="F80">
        <v>1</v>
      </c>
      <c r="G80">
        <v>15514512</v>
      </c>
      <c r="H80">
        <v>3</v>
      </c>
      <c r="I80" t="s">
        <v>456</v>
      </c>
      <c r="J80" t="s">
        <v>3</v>
      </c>
      <c r="K80" t="s">
        <v>457</v>
      </c>
      <c r="L80">
        <v>1346</v>
      </c>
      <c r="N80">
        <v>1009</v>
      </c>
      <c r="O80" t="s">
        <v>411</v>
      </c>
      <c r="P80" t="s">
        <v>411</v>
      </c>
      <c r="Q80">
        <v>1</v>
      </c>
      <c r="X80">
        <v>4.0000000000000001E-3</v>
      </c>
      <c r="Y80">
        <v>1511.54088</v>
      </c>
      <c r="Z80">
        <v>0</v>
      </c>
      <c r="AA80">
        <v>0</v>
      </c>
      <c r="AB80">
        <v>0</v>
      </c>
      <c r="AC80">
        <v>0</v>
      </c>
      <c r="AD80">
        <v>1</v>
      </c>
      <c r="AE80">
        <v>0</v>
      </c>
      <c r="AF80" t="s">
        <v>3</v>
      </c>
      <c r="AG80">
        <v>4.0000000000000001E-3</v>
      </c>
      <c r="AH80">
        <v>3</v>
      </c>
      <c r="AI80">
        <v>-1</v>
      </c>
      <c r="AJ80" t="s">
        <v>3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ROW(Source!A174)</f>
        <v>174</v>
      </c>
      <c r="B81">
        <v>1471739661</v>
      </c>
      <c r="C81">
        <v>1471663455</v>
      </c>
      <c r="D81">
        <v>1441836235</v>
      </c>
      <c r="E81">
        <v>1</v>
      </c>
      <c r="F81">
        <v>1</v>
      </c>
      <c r="G81">
        <v>15514512</v>
      </c>
      <c r="H81">
        <v>3</v>
      </c>
      <c r="I81" t="s">
        <v>408</v>
      </c>
      <c r="J81" t="s">
        <v>409</v>
      </c>
      <c r="K81" t="s">
        <v>410</v>
      </c>
      <c r="L81">
        <v>1346</v>
      </c>
      <c r="N81">
        <v>1009</v>
      </c>
      <c r="O81" t="s">
        <v>411</v>
      </c>
      <c r="P81" t="s">
        <v>411</v>
      </c>
      <c r="Q81">
        <v>1</v>
      </c>
      <c r="X81">
        <v>0.01</v>
      </c>
      <c r="Y81">
        <v>31.49</v>
      </c>
      <c r="Z81">
        <v>0</v>
      </c>
      <c r="AA81">
        <v>0</v>
      </c>
      <c r="AB81">
        <v>0</v>
      </c>
      <c r="AC81">
        <v>0</v>
      </c>
      <c r="AD81">
        <v>1</v>
      </c>
      <c r="AE81">
        <v>0</v>
      </c>
      <c r="AF81" t="s">
        <v>3</v>
      </c>
      <c r="AG81">
        <v>0.01</v>
      </c>
      <c r="AH81">
        <v>3</v>
      </c>
      <c r="AI81">
        <v>-1</v>
      </c>
      <c r="AJ81" t="s">
        <v>3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ROW(Source!A174)</f>
        <v>174</v>
      </c>
      <c r="B82">
        <v>1471739662</v>
      </c>
      <c r="C82">
        <v>1471663455</v>
      </c>
      <c r="D82">
        <v>1441838748</v>
      </c>
      <c r="E82">
        <v>1</v>
      </c>
      <c r="F82">
        <v>1</v>
      </c>
      <c r="G82">
        <v>15514512</v>
      </c>
      <c r="H82">
        <v>3</v>
      </c>
      <c r="I82" t="s">
        <v>458</v>
      </c>
      <c r="J82" t="s">
        <v>459</v>
      </c>
      <c r="K82" t="s">
        <v>460</v>
      </c>
      <c r="L82">
        <v>1327</v>
      </c>
      <c r="N82">
        <v>1005</v>
      </c>
      <c r="O82" t="s">
        <v>461</v>
      </c>
      <c r="P82" t="s">
        <v>461</v>
      </c>
      <c r="Q82">
        <v>1</v>
      </c>
      <c r="X82">
        <v>1.0999999999999999E-2</v>
      </c>
      <c r="Y82">
        <v>208.99</v>
      </c>
      <c r="Z82">
        <v>0</v>
      </c>
      <c r="AA82">
        <v>0</v>
      </c>
      <c r="AB82">
        <v>0</v>
      </c>
      <c r="AC82">
        <v>0</v>
      </c>
      <c r="AD82">
        <v>1</v>
      </c>
      <c r="AE82">
        <v>0</v>
      </c>
      <c r="AF82" t="s">
        <v>3</v>
      </c>
      <c r="AG82">
        <v>1.0999999999999999E-2</v>
      </c>
      <c r="AH82">
        <v>3</v>
      </c>
      <c r="AI82">
        <v>-1</v>
      </c>
      <c r="AJ82" t="s">
        <v>3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ROW(Source!A174)</f>
        <v>174</v>
      </c>
      <c r="B83">
        <v>1471739659</v>
      </c>
      <c r="C83">
        <v>1471663455</v>
      </c>
      <c r="D83">
        <v>1441822228</v>
      </c>
      <c r="E83">
        <v>15514512</v>
      </c>
      <c r="F83">
        <v>1</v>
      </c>
      <c r="G83">
        <v>15514512</v>
      </c>
      <c r="H83">
        <v>3</v>
      </c>
      <c r="I83" t="s">
        <v>451</v>
      </c>
      <c r="J83" t="s">
        <v>3</v>
      </c>
      <c r="K83" t="s">
        <v>452</v>
      </c>
      <c r="L83">
        <v>1346</v>
      </c>
      <c r="N83">
        <v>1009</v>
      </c>
      <c r="O83" t="s">
        <v>411</v>
      </c>
      <c r="P83" t="s">
        <v>411</v>
      </c>
      <c r="Q83">
        <v>1</v>
      </c>
      <c r="X83">
        <v>2.3E-2</v>
      </c>
      <c r="Y83">
        <v>73.951729999999998</v>
      </c>
      <c r="Z83">
        <v>0</v>
      </c>
      <c r="AA83">
        <v>0</v>
      </c>
      <c r="AB83">
        <v>0</v>
      </c>
      <c r="AC83">
        <v>0</v>
      </c>
      <c r="AD83">
        <v>1</v>
      </c>
      <c r="AE83">
        <v>0</v>
      </c>
      <c r="AF83" t="s">
        <v>3</v>
      </c>
      <c r="AG83">
        <v>2.3E-2</v>
      </c>
      <c r="AH83">
        <v>3</v>
      </c>
      <c r="AI83">
        <v>-1</v>
      </c>
      <c r="AJ83" t="s">
        <v>3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ROW(Source!A174)</f>
        <v>174</v>
      </c>
      <c r="B84">
        <v>1471739663</v>
      </c>
      <c r="C84">
        <v>1471663455</v>
      </c>
      <c r="D84">
        <v>1441834920</v>
      </c>
      <c r="E84">
        <v>1</v>
      </c>
      <c r="F84">
        <v>1</v>
      </c>
      <c r="G84">
        <v>15514512</v>
      </c>
      <c r="H84">
        <v>3</v>
      </c>
      <c r="I84" t="s">
        <v>453</v>
      </c>
      <c r="J84" t="s">
        <v>454</v>
      </c>
      <c r="K84" t="s">
        <v>455</v>
      </c>
      <c r="L84">
        <v>1346</v>
      </c>
      <c r="N84">
        <v>1009</v>
      </c>
      <c r="O84" t="s">
        <v>411</v>
      </c>
      <c r="P84" t="s">
        <v>411</v>
      </c>
      <c r="Q84">
        <v>1</v>
      </c>
      <c r="X84">
        <v>1.9E-2</v>
      </c>
      <c r="Y84">
        <v>106.87</v>
      </c>
      <c r="Z84">
        <v>0</v>
      </c>
      <c r="AA84">
        <v>0</v>
      </c>
      <c r="AB84">
        <v>0</v>
      </c>
      <c r="AC84">
        <v>0</v>
      </c>
      <c r="AD84">
        <v>1</v>
      </c>
      <c r="AE84">
        <v>0</v>
      </c>
      <c r="AF84" t="s">
        <v>3</v>
      </c>
      <c r="AG84">
        <v>1.9E-2</v>
      </c>
      <c r="AH84">
        <v>3</v>
      </c>
      <c r="AI84">
        <v>-1</v>
      </c>
      <c r="AJ84" t="s">
        <v>3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ROW(Source!A175)</f>
        <v>175</v>
      </c>
      <c r="B85">
        <v>1471739664</v>
      </c>
      <c r="C85">
        <v>1471663474</v>
      </c>
      <c r="D85">
        <v>1441819193</v>
      </c>
      <c r="E85">
        <v>15514512</v>
      </c>
      <c r="F85">
        <v>1</v>
      </c>
      <c r="G85">
        <v>15514512</v>
      </c>
      <c r="H85">
        <v>1</v>
      </c>
      <c r="I85" t="s">
        <v>401</v>
      </c>
      <c r="J85" t="s">
        <v>3</v>
      </c>
      <c r="K85" t="s">
        <v>402</v>
      </c>
      <c r="L85">
        <v>1191</v>
      </c>
      <c r="N85">
        <v>1013</v>
      </c>
      <c r="O85" t="s">
        <v>403</v>
      </c>
      <c r="P85" t="s">
        <v>403</v>
      </c>
      <c r="Q85">
        <v>1</v>
      </c>
      <c r="X85">
        <v>0.3</v>
      </c>
      <c r="Y85">
        <v>0</v>
      </c>
      <c r="Z85">
        <v>0</v>
      </c>
      <c r="AA85">
        <v>0</v>
      </c>
      <c r="AB85">
        <v>0</v>
      </c>
      <c r="AC85">
        <v>0</v>
      </c>
      <c r="AD85">
        <v>1</v>
      </c>
      <c r="AE85">
        <v>1</v>
      </c>
      <c r="AF85" t="s">
        <v>42</v>
      </c>
      <c r="AG85">
        <v>0.6</v>
      </c>
      <c r="AH85">
        <v>3</v>
      </c>
      <c r="AI85">
        <v>-1</v>
      </c>
      <c r="AJ85" t="s">
        <v>3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ROW(Source!A175)</f>
        <v>175</v>
      </c>
      <c r="B86">
        <v>1471739665</v>
      </c>
      <c r="C86">
        <v>1471663474</v>
      </c>
      <c r="D86">
        <v>1441836235</v>
      </c>
      <c r="E86">
        <v>1</v>
      </c>
      <c r="F86">
        <v>1</v>
      </c>
      <c r="G86">
        <v>15514512</v>
      </c>
      <c r="H86">
        <v>3</v>
      </c>
      <c r="I86" t="s">
        <v>408</v>
      </c>
      <c r="J86" t="s">
        <v>409</v>
      </c>
      <c r="K86" t="s">
        <v>410</v>
      </c>
      <c r="L86">
        <v>1346</v>
      </c>
      <c r="N86">
        <v>1009</v>
      </c>
      <c r="O86" t="s">
        <v>411</v>
      </c>
      <c r="P86" t="s">
        <v>411</v>
      </c>
      <c r="Q86">
        <v>1</v>
      </c>
      <c r="X86">
        <v>0.05</v>
      </c>
      <c r="Y86">
        <v>31.49</v>
      </c>
      <c r="Z86">
        <v>0</v>
      </c>
      <c r="AA86">
        <v>0</v>
      </c>
      <c r="AB86">
        <v>0</v>
      </c>
      <c r="AC86">
        <v>0</v>
      </c>
      <c r="AD86">
        <v>1</v>
      </c>
      <c r="AE86">
        <v>0</v>
      </c>
      <c r="AF86" t="s">
        <v>42</v>
      </c>
      <c r="AG86">
        <v>0.1</v>
      </c>
      <c r="AH86">
        <v>3</v>
      </c>
      <c r="AI86">
        <v>-1</v>
      </c>
      <c r="AJ86" t="s">
        <v>3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ROW(Source!A175)</f>
        <v>175</v>
      </c>
      <c r="B87">
        <v>1471739666</v>
      </c>
      <c r="C87">
        <v>1471663474</v>
      </c>
      <c r="D87">
        <v>1441834628</v>
      </c>
      <c r="E87">
        <v>1</v>
      </c>
      <c r="F87">
        <v>1</v>
      </c>
      <c r="G87">
        <v>15514512</v>
      </c>
      <c r="H87">
        <v>3</v>
      </c>
      <c r="I87" t="s">
        <v>451</v>
      </c>
      <c r="J87" t="s">
        <v>462</v>
      </c>
      <c r="K87" t="s">
        <v>452</v>
      </c>
      <c r="L87">
        <v>1348</v>
      </c>
      <c r="N87">
        <v>1009</v>
      </c>
      <c r="O87" t="s">
        <v>426</v>
      </c>
      <c r="P87" t="s">
        <v>426</v>
      </c>
      <c r="Q87">
        <v>1000</v>
      </c>
      <c r="X87">
        <v>4.0000000000000003E-5</v>
      </c>
      <c r="Y87">
        <v>73951.73</v>
      </c>
      <c r="Z87">
        <v>0</v>
      </c>
      <c r="AA87">
        <v>0</v>
      </c>
      <c r="AB87">
        <v>0</v>
      </c>
      <c r="AC87">
        <v>0</v>
      </c>
      <c r="AD87">
        <v>1</v>
      </c>
      <c r="AE87">
        <v>0</v>
      </c>
      <c r="AF87" t="s">
        <v>42</v>
      </c>
      <c r="AG87">
        <v>8.0000000000000007E-5</v>
      </c>
      <c r="AH87">
        <v>3</v>
      </c>
      <c r="AI87">
        <v>-1</v>
      </c>
      <c r="AJ87" t="s">
        <v>3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ROW(Source!A176)</f>
        <v>176</v>
      </c>
      <c r="B88">
        <v>1471739697</v>
      </c>
      <c r="C88">
        <v>1471663484</v>
      </c>
      <c r="D88">
        <v>1441819193</v>
      </c>
      <c r="E88">
        <v>15514512</v>
      </c>
      <c r="F88">
        <v>1</v>
      </c>
      <c r="G88">
        <v>15514512</v>
      </c>
      <c r="H88">
        <v>1</v>
      </c>
      <c r="I88" t="s">
        <v>401</v>
      </c>
      <c r="J88" t="s">
        <v>3</v>
      </c>
      <c r="K88" t="s">
        <v>402</v>
      </c>
      <c r="L88">
        <v>1191</v>
      </c>
      <c r="N88">
        <v>1013</v>
      </c>
      <c r="O88" t="s">
        <v>403</v>
      </c>
      <c r="P88" t="s">
        <v>403</v>
      </c>
      <c r="Q88">
        <v>1</v>
      </c>
      <c r="X88">
        <v>0.04</v>
      </c>
      <c r="Y88">
        <v>0</v>
      </c>
      <c r="Z88">
        <v>0</v>
      </c>
      <c r="AA88">
        <v>0</v>
      </c>
      <c r="AB88">
        <v>0</v>
      </c>
      <c r="AC88">
        <v>0</v>
      </c>
      <c r="AD88">
        <v>1</v>
      </c>
      <c r="AE88">
        <v>1</v>
      </c>
      <c r="AF88" t="s">
        <v>163</v>
      </c>
      <c r="AG88">
        <v>0.12</v>
      </c>
      <c r="AH88">
        <v>3</v>
      </c>
      <c r="AI88">
        <v>-1</v>
      </c>
      <c r="AJ88" t="s">
        <v>3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ROW(Source!A176)</f>
        <v>176</v>
      </c>
      <c r="B89">
        <v>1471739699</v>
      </c>
      <c r="C89">
        <v>1471663484</v>
      </c>
      <c r="D89">
        <v>1441836235</v>
      </c>
      <c r="E89">
        <v>1</v>
      </c>
      <c r="F89">
        <v>1</v>
      </c>
      <c r="G89">
        <v>15514512</v>
      </c>
      <c r="H89">
        <v>3</v>
      </c>
      <c r="I89" t="s">
        <v>408</v>
      </c>
      <c r="J89" t="s">
        <v>409</v>
      </c>
      <c r="K89" t="s">
        <v>410</v>
      </c>
      <c r="L89">
        <v>1346</v>
      </c>
      <c r="N89">
        <v>1009</v>
      </c>
      <c r="O89" t="s">
        <v>411</v>
      </c>
      <c r="P89" t="s">
        <v>411</v>
      </c>
      <c r="Q89">
        <v>1</v>
      </c>
      <c r="X89">
        <v>2.0000000000000001E-4</v>
      </c>
      <c r="Y89">
        <v>31.49</v>
      </c>
      <c r="Z89">
        <v>0</v>
      </c>
      <c r="AA89">
        <v>0</v>
      </c>
      <c r="AB89">
        <v>0</v>
      </c>
      <c r="AC89">
        <v>0</v>
      </c>
      <c r="AD89">
        <v>1</v>
      </c>
      <c r="AE89">
        <v>0</v>
      </c>
      <c r="AF89" t="s">
        <v>163</v>
      </c>
      <c r="AG89">
        <v>6.0000000000000006E-4</v>
      </c>
      <c r="AH89">
        <v>3</v>
      </c>
      <c r="AI89">
        <v>-1</v>
      </c>
      <c r="AJ89" t="s">
        <v>3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ROW(Source!A177)</f>
        <v>177</v>
      </c>
      <c r="B90">
        <v>1471739804</v>
      </c>
      <c r="C90">
        <v>1471663491</v>
      </c>
      <c r="D90">
        <v>1441819193</v>
      </c>
      <c r="E90">
        <v>15514512</v>
      </c>
      <c r="F90">
        <v>1</v>
      </c>
      <c r="G90">
        <v>15514512</v>
      </c>
      <c r="H90">
        <v>1</v>
      </c>
      <c r="I90" t="s">
        <v>401</v>
      </c>
      <c r="J90" t="s">
        <v>3</v>
      </c>
      <c r="K90" t="s">
        <v>402</v>
      </c>
      <c r="L90">
        <v>1191</v>
      </c>
      <c r="N90">
        <v>1013</v>
      </c>
      <c r="O90" t="s">
        <v>403</v>
      </c>
      <c r="P90" t="s">
        <v>403</v>
      </c>
      <c r="Q90">
        <v>1</v>
      </c>
      <c r="X90">
        <v>1.2</v>
      </c>
      <c r="Y90">
        <v>0</v>
      </c>
      <c r="Z90">
        <v>0</v>
      </c>
      <c r="AA90">
        <v>0</v>
      </c>
      <c r="AB90">
        <v>0</v>
      </c>
      <c r="AC90">
        <v>0</v>
      </c>
      <c r="AD90">
        <v>1</v>
      </c>
      <c r="AE90">
        <v>1</v>
      </c>
      <c r="AF90" t="s">
        <v>3</v>
      </c>
      <c r="AG90">
        <v>1.2</v>
      </c>
      <c r="AH90">
        <v>3</v>
      </c>
      <c r="AI90">
        <v>-1</v>
      </c>
      <c r="AJ90" t="s">
        <v>3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ROW(Source!A177)</f>
        <v>177</v>
      </c>
      <c r="B91">
        <v>1471739805</v>
      </c>
      <c r="C91">
        <v>1471663491</v>
      </c>
      <c r="D91">
        <v>1441836235</v>
      </c>
      <c r="E91">
        <v>1</v>
      </c>
      <c r="F91">
        <v>1</v>
      </c>
      <c r="G91">
        <v>15514512</v>
      </c>
      <c r="H91">
        <v>3</v>
      </c>
      <c r="I91" t="s">
        <v>408</v>
      </c>
      <c r="J91" t="s">
        <v>409</v>
      </c>
      <c r="K91" t="s">
        <v>410</v>
      </c>
      <c r="L91">
        <v>1346</v>
      </c>
      <c r="N91">
        <v>1009</v>
      </c>
      <c r="O91" t="s">
        <v>411</v>
      </c>
      <c r="P91" t="s">
        <v>411</v>
      </c>
      <c r="Q91">
        <v>1</v>
      </c>
      <c r="X91">
        <v>7.0000000000000001E-3</v>
      </c>
      <c r="Y91">
        <v>31.49</v>
      </c>
      <c r="Z91">
        <v>0</v>
      </c>
      <c r="AA91">
        <v>0</v>
      </c>
      <c r="AB91">
        <v>0</v>
      </c>
      <c r="AC91">
        <v>0</v>
      </c>
      <c r="AD91">
        <v>1</v>
      </c>
      <c r="AE91">
        <v>0</v>
      </c>
      <c r="AF91" t="s">
        <v>3</v>
      </c>
      <c r="AG91">
        <v>7.0000000000000001E-3</v>
      </c>
      <c r="AH91">
        <v>3</v>
      </c>
      <c r="AI91">
        <v>-1</v>
      </c>
      <c r="AJ91" t="s">
        <v>3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ROW(Source!A177)</f>
        <v>177</v>
      </c>
      <c r="B92">
        <v>1471739806</v>
      </c>
      <c r="C92">
        <v>1471663491</v>
      </c>
      <c r="D92">
        <v>1441834628</v>
      </c>
      <c r="E92">
        <v>1</v>
      </c>
      <c r="F92">
        <v>1</v>
      </c>
      <c r="G92">
        <v>15514512</v>
      </c>
      <c r="H92">
        <v>3</v>
      </c>
      <c r="I92" t="s">
        <v>451</v>
      </c>
      <c r="J92" t="s">
        <v>462</v>
      </c>
      <c r="K92" t="s">
        <v>452</v>
      </c>
      <c r="L92">
        <v>1348</v>
      </c>
      <c r="N92">
        <v>1009</v>
      </c>
      <c r="O92" t="s">
        <v>426</v>
      </c>
      <c r="P92" t="s">
        <v>426</v>
      </c>
      <c r="Q92">
        <v>1000</v>
      </c>
      <c r="X92">
        <v>2.0000000000000002E-5</v>
      </c>
      <c r="Y92">
        <v>73951.73</v>
      </c>
      <c r="Z92">
        <v>0</v>
      </c>
      <c r="AA92">
        <v>0</v>
      </c>
      <c r="AB92">
        <v>0</v>
      </c>
      <c r="AC92">
        <v>0</v>
      </c>
      <c r="AD92">
        <v>1</v>
      </c>
      <c r="AE92">
        <v>0</v>
      </c>
      <c r="AF92" t="s">
        <v>3</v>
      </c>
      <c r="AG92">
        <v>2.0000000000000002E-5</v>
      </c>
      <c r="AH92">
        <v>3</v>
      </c>
      <c r="AI92">
        <v>-1</v>
      </c>
      <c r="AJ92" t="s">
        <v>3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ROW(Source!A178)</f>
        <v>178</v>
      </c>
      <c r="B93">
        <v>1471739807</v>
      </c>
      <c r="C93">
        <v>1471663501</v>
      </c>
      <c r="D93">
        <v>1441819193</v>
      </c>
      <c r="E93">
        <v>15514512</v>
      </c>
      <c r="F93">
        <v>1</v>
      </c>
      <c r="G93">
        <v>15514512</v>
      </c>
      <c r="H93">
        <v>1</v>
      </c>
      <c r="I93" t="s">
        <v>401</v>
      </c>
      <c r="J93" t="s">
        <v>3</v>
      </c>
      <c r="K93" t="s">
        <v>402</v>
      </c>
      <c r="L93">
        <v>1191</v>
      </c>
      <c r="N93">
        <v>1013</v>
      </c>
      <c r="O93" t="s">
        <v>403</v>
      </c>
      <c r="P93" t="s">
        <v>403</v>
      </c>
      <c r="Q93">
        <v>1</v>
      </c>
      <c r="X93">
        <v>0.3</v>
      </c>
      <c r="Y93">
        <v>0</v>
      </c>
      <c r="Z93">
        <v>0</v>
      </c>
      <c r="AA93">
        <v>0</v>
      </c>
      <c r="AB93">
        <v>0</v>
      </c>
      <c r="AC93">
        <v>0</v>
      </c>
      <c r="AD93">
        <v>1</v>
      </c>
      <c r="AE93">
        <v>1</v>
      </c>
      <c r="AF93" t="s">
        <v>42</v>
      </c>
      <c r="AG93">
        <v>0.6</v>
      </c>
      <c r="AH93">
        <v>3</v>
      </c>
      <c r="AI93">
        <v>-1</v>
      </c>
      <c r="AJ93" t="s">
        <v>3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ROW(Source!A178)</f>
        <v>178</v>
      </c>
      <c r="B94">
        <v>1471739808</v>
      </c>
      <c r="C94">
        <v>1471663501</v>
      </c>
      <c r="D94">
        <v>1441836235</v>
      </c>
      <c r="E94">
        <v>1</v>
      </c>
      <c r="F94">
        <v>1</v>
      </c>
      <c r="G94">
        <v>15514512</v>
      </c>
      <c r="H94">
        <v>3</v>
      </c>
      <c r="I94" t="s">
        <v>408</v>
      </c>
      <c r="J94" t="s">
        <v>409</v>
      </c>
      <c r="K94" t="s">
        <v>410</v>
      </c>
      <c r="L94">
        <v>1346</v>
      </c>
      <c r="N94">
        <v>1009</v>
      </c>
      <c r="O94" t="s">
        <v>411</v>
      </c>
      <c r="P94" t="s">
        <v>411</v>
      </c>
      <c r="Q94">
        <v>1</v>
      </c>
      <c r="X94">
        <v>0.05</v>
      </c>
      <c r="Y94">
        <v>31.49</v>
      </c>
      <c r="Z94">
        <v>0</v>
      </c>
      <c r="AA94">
        <v>0</v>
      </c>
      <c r="AB94">
        <v>0</v>
      </c>
      <c r="AC94">
        <v>0</v>
      </c>
      <c r="AD94">
        <v>1</v>
      </c>
      <c r="AE94">
        <v>0</v>
      </c>
      <c r="AF94" t="s">
        <v>42</v>
      </c>
      <c r="AG94">
        <v>0.1</v>
      </c>
      <c r="AH94">
        <v>3</v>
      </c>
      <c r="AI94">
        <v>-1</v>
      </c>
      <c r="AJ94" t="s">
        <v>3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ROW(Source!A178)</f>
        <v>178</v>
      </c>
      <c r="B95">
        <v>1471739809</v>
      </c>
      <c r="C95">
        <v>1471663501</v>
      </c>
      <c r="D95">
        <v>1441834628</v>
      </c>
      <c r="E95">
        <v>1</v>
      </c>
      <c r="F95">
        <v>1</v>
      </c>
      <c r="G95">
        <v>15514512</v>
      </c>
      <c r="H95">
        <v>3</v>
      </c>
      <c r="I95" t="s">
        <v>451</v>
      </c>
      <c r="J95" t="s">
        <v>462</v>
      </c>
      <c r="K95" t="s">
        <v>452</v>
      </c>
      <c r="L95">
        <v>1348</v>
      </c>
      <c r="N95">
        <v>1009</v>
      </c>
      <c r="O95" t="s">
        <v>426</v>
      </c>
      <c r="P95" t="s">
        <v>426</v>
      </c>
      <c r="Q95">
        <v>1000</v>
      </c>
      <c r="X95">
        <v>4.0000000000000003E-5</v>
      </c>
      <c r="Y95">
        <v>73951.73</v>
      </c>
      <c r="Z95">
        <v>0</v>
      </c>
      <c r="AA95">
        <v>0</v>
      </c>
      <c r="AB95">
        <v>0</v>
      </c>
      <c r="AC95">
        <v>0</v>
      </c>
      <c r="AD95">
        <v>1</v>
      </c>
      <c r="AE95">
        <v>0</v>
      </c>
      <c r="AF95" t="s">
        <v>42</v>
      </c>
      <c r="AG95">
        <v>8.0000000000000007E-5</v>
      </c>
      <c r="AH95">
        <v>3</v>
      </c>
      <c r="AI95">
        <v>-1</v>
      </c>
      <c r="AJ95" t="s">
        <v>3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ROW(Source!A180)</f>
        <v>180</v>
      </c>
      <c r="B96">
        <v>1471739810</v>
      </c>
      <c r="C96">
        <v>1471663513</v>
      </c>
      <c r="D96">
        <v>1441819193</v>
      </c>
      <c r="E96">
        <v>15514512</v>
      </c>
      <c r="F96">
        <v>1</v>
      </c>
      <c r="G96">
        <v>15514512</v>
      </c>
      <c r="H96">
        <v>1</v>
      </c>
      <c r="I96" t="s">
        <v>401</v>
      </c>
      <c r="J96" t="s">
        <v>3</v>
      </c>
      <c r="K96" t="s">
        <v>402</v>
      </c>
      <c r="L96">
        <v>1191</v>
      </c>
      <c r="N96">
        <v>1013</v>
      </c>
      <c r="O96" t="s">
        <v>403</v>
      </c>
      <c r="P96" t="s">
        <v>403</v>
      </c>
      <c r="Q96">
        <v>1</v>
      </c>
      <c r="X96">
        <v>0.4</v>
      </c>
      <c r="Y96">
        <v>0</v>
      </c>
      <c r="Z96">
        <v>0</v>
      </c>
      <c r="AA96">
        <v>0</v>
      </c>
      <c r="AB96">
        <v>0</v>
      </c>
      <c r="AC96">
        <v>0</v>
      </c>
      <c r="AD96">
        <v>1</v>
      </c>
      <c r="AE96">
        <v>1</v>
      </c>
      <c r="AF96" t="s">
        <v>231</v>
      </c>
      <c r="AG96">
        <v>0.41600000000000004</v>
      </c>
      <c r="AH96">
        <v>3</v>
      </c>
      <c r="AI96">
        <v>-1</v>
      </c>
      <c r="AJ96" t="s">
        <v>3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ROW(Source!A180)</f>
        <v>180</v>
      </c>
      <c r="B97">
        <v>1471739811</v>
      </c>
      <c r="C97">
        <v>1471663513</v>
      </c>
      <c r="D97">
        <v>1441836235</v>
      </c>
      <c r="E97">
        <v>1</v>
      </c>
      <c r="F97">
        <v>1</v>
      </c>
      <c r="G97">
        <v>15514512</v>
      </c>
      <c r="H97">
        <v>3</v>
      </c>
      <c r="I97" t="s">
        <v>408</v>
      </c>
      <c r="J97" t="s">
        <v>409</v>
      </c>
      <c r="K97" t="s">
        <v>410</v>
      </c>
      <c r="L97">
        <v>1346</v>
      </c>
      <c r="N97">
        <v>1009</v>
      </c>
      <c r="O97" t="s">
        <v>411</v>
      </c>
      <c r="P97" t="s">
        <v>411</v>
      </c>
      <c r="Q97">
        <v>1</v>
      </c>
      <c r="X97">
        <v>0.04</v>
      </c>
      <c r="Y97">
        <v>31.49</v>
      </c>
      <c r="Z97">
        <v>0</v>
      </c>
      <c r="AA97">
        <v>0</v>
      </c>
      <c r="AB97">
        <v>0</v>
      </c>
      <c r="AC97">
        <v>0</v>
      </c>
      <c r="AD97">
        <v>1</v>
      </c>
      <c r="AE97">
        <v>0</v>
      </c>
      <c r="AF97" t="s">
        <v>3</v>
      </c>
      <c r="AG97">
        <v>0.04</v>
      </c>
      <c r="AH97">
        <v>3</v>
      </c>
      <c r="AI97">
        <v>-1</v>
      </c>
      <c r="AJ97" t="s">
        <v>3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ROW(Source!A181)</f>
        <v>181</v>
      </c>
      <c r="B98">
        <v>1471739812</v>
      </c>
      <c r="C98">
        <v>1471663520</v>
      </c>
      <c r="D98">
        <v>1441819193</v>
      </c>
      <c r="E98">
        <v>15514512</v>
      </c>
      <c r="F98">
        <v>1</v>
      </c>
      <c r="G98">
        <v>15514512</v>
      </c>
      <c r="H98">
        <v>1</v>
      </c>
      <c r="I98" t="s">
        <v>401</v>
      </c>
      <c r="J98" t="s">
        <v>3</v>
      </c>
      <c r="K98" t="s">
        <v>402</v>
      </c>
      <c r="L98">
        <v>1191</v>
      </c>
      <c r="N98">
        <v>1013</v>
      </c>
      <c r="O98" t="s">
        <v>403</v>
      </c>
      <c r="P98" t="s">
        <v>403</v>
      </c>
      <c r="Q98">
        <v>1</v>
      </c>
      <c r="X98">
        <v>0.3</v>
      </c>
      <c r="Y98">
        <v>0</v>
      </c>
      <c r="Z98">
        <v>0</v>
      </c>
      <c r="AA98">
        <v>0</v>
      </c>
      <c r="AB98">
        <v>0</v>
      </c>
      <c r="AC98">
        <v>0</v>
      </c>
      <c r="AD98">
        <v>1</v>
      </c>
      <c r="AE98">
        <v>1</v>
      </c>
      <c r="AF98" t="s">
        <v>231</v>
      </c>
      <c r="AG98">
        <v>0.312</v>
      </c>
      <c r="AH98">
        <v>3</v>
      </c>
      <c r="AI98">
        <v>-1</v>
      </c>
      <c r="AJ98" t="s">
        <v>3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ROW(Source!A181)</f>
        <v>181</v>
      </c>
      <c r="B99">
        <v>1471739813</v>
      </c>
      <c r="C99">
        <v>1471663520</v>
      </c>
      <c r="D99">
        <v>1441836235</v>
      </c>
      <c r="E99">
        <v>1</v>
      </c>
      <c r="F99">
        <v>1</v>
      </c>
      <c r="G99">
        <v>15514512</v>
      </c>
      <c r="H99">
        <v>3</v>
      </c>
      <c r="I99" t="s">
        <v>408</v>
      </c>
      <c r="J99" t="s">
        <v>409</v>
      </c>
      <c r="K99" t="s">
        <v>410</v>
      </c>
      <c r="L99">
        <v>1346</v>
      </c>
      <c r="N99">
        <v>1009</v>
      </c>
      <c r="O99" t="s">
        <v>411</v>
      </c>
      <c r="P99" t="s">
        <v>411</v>
      </c>
      <c r="Q99">
        <v>1</v>
      </c>
      <c r="X99">
        <v>0.02</v>
      </c>
      <c r="Y99">
        <v>31.49</v>
      </c>
      <c r="Z99">
        <v>0</v>
      </c>
      <c r="AA99">
        <v>0</v>
      </c>
      <c r="AB99">
        <v>0</v>
      </c>
      <c r="AC99">
        <v>0</v>
      </c>
      <c r="AD99">
        <v>1</v>
      </c>
      <c r="AE99">
        <v>0</v>
      </c>
      <c r="AF99" t="s">
        <v>3</v>
      </c>
      <c r="AG99">
        <v>0.02</v>
      </c>
      <c r="AH99">
        <v>3</v>
      </c>
      <c r="AI99">
        <v>-1</v>
      </c>
      <c r="AJ99" t="s">
        <v>3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ROW(Source!A183)</f>
        <v>183</v>
      </c>
      <c r="B100">
        <v>1471739814</v>
      </c>
      <c r="C100">
        <v>1471663528</v>
      </c>
      <c r="D100">
        <v>1441819193</v>
      </c>
      <c r="E100">
        <v>15514512</v>
      </c>
      <c r="F100">
        <v>1</v>
      </c>
      <c r="G100">
        <v>15514512</v>
      </c>
      <c r="H100">
        <v>1</v>
      </c>
      <c r="I100" t="s">
        <v>401</v>
      </c>
      <c r="J100" t="s">
        <v>3</v>
      </c>
      <c r="K100" t="s">
        <v>402</v>
      </c>
      <c r="L100">
        <v>1191</v>
      </c>
      <c r="N100">
        <v>1013</v>
      </c>
      <c r="O100" t="s">
        <v>403</v>
      </c>
      <c r="P100" t="s">
        <v>403</v>
      </c>
      <c r="Q100">
        <v>1</v>
      </c>
      <c r="X100">
        <v>6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1</v>
      </c>
      <c r="AE100">
        <v>1</v>
      </c>
      <c r="AF100" t="s">
        <v>20</v>
      </c>
      <c r="AG100">
        <v>24</v>
      </c>
      <c r="AH100">
        <v>3</v>
      </c>
      <c r="AI100">
        <v>-1</v>
      </c>
      <c r="AJ100" t="s">
        <v>3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ROW(Source!A183)</f>
        <v>183</v>
      </c>
      <c r="B101">
        <v>1471739815</v>
      </c>
      <c r="C101">
        <v>1471663528</v>
      </c>
      <c r="D101">
        <v>1441834258</v>
      </c>
      <c r="E101">
        <v>1</v>
      </c>
      <c r="F101">
        <v>1</v>
      </c>
      <c r="G101">
        <v>15514512</v>
      </c>
      <c r="H101">
        <v>2</v>
      </c>
      <c r="I101" t="s">
        <v>404</v>
      </c>
      <c r="J101" t="s">
        <v>405</v>
      </c>
      <c r="K101" t="s">
        <v>406</v>
      </c>
      <c r="L101">
        <v>1368</v>
      </c>
      <c r="N101">
        <v>1011</v>
      </c>
      <c r="O101" t="s">
        <v>407</v>
      </c>
      <c r="P101" t="s">
        <v>407</v>
      </c>
      <c r="Q101">
        <v>1</v>
      </c>
      <c r="X101">
        <v>0.7</v>
      </c>
      <c r="Y101">
        <v>0</v>
      </c>
      <c r="Z101">
        <v>1303.01</v>
      </c>
      <c r="AA101">
        <v>826.2</v>
      </c>
      <c r="AB101">
        <v>0</v>
      </c>
      <c r="AC101">
        <v>0</v>
      </c>
      <c r="AD101">
        <v>1</v>
      </c>
      <c r="AE101">
        <v>0</v>
      </c>
      <c r="AF101" t="s">
        <v>20</v>
      </c>
      <c r="AG101">
        <v>2.8</v>
      </c>
      <c r="AH101">
        <v>3</v>
      </c>
      <c r="AI101">
        <v>-1</v>
      </c>
      <c r="AJ101" t="s">
        <v>3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ROW(Source!A183)</f>
        <v>183</v>
      </c>
      <c r="B102">
        <v>1471739816</v>
      </c>
      <c r="C102">
        <v>1471663528</v>
      </c>
      <c r="D102">
        <v>1441836235</v>
      </c>
      <c r="E102">
        <v>1</v>
      </c>
      <c r="F102">
        <v>1</v>
      </c>
      <c r="G102">
        <v>15514512</v>
      </c>
      <c r="H102">
        <v>3</v>
      </c>
      <c r="I102" t="s">
        <v>408</v>
      </c>
      <c r="J102" t="s">
        <v>409</v>
      </c>
      <c r="K102" t="s">
        <v>410</v>
      </c>
      <c r="L102">
        <v>1346</v>
      </c>
      <c r="N102">
        <v>1009</v>
      </c>
      <c r="O102" t="s">
        <v>411</v>
      </c>
      <c r="P102" t="s">
        <v>411</v>
      </c>
      <c r="Q102">
        <v>1</v>
      </c>
      <c r="X102">
        <v>0.03</v>
      </c>
      <c r="Y102">
        <v>31.49</v>
      </c>
      <c r="Z102">
        <v>0</v>
      </c>
      <c r="AA102">
        <v>0</v>
      </c>
      <c r="AB102">
        <v>0</v>
      </c>
      <c r="AC102">
        <v>0</v>
      </c>
      <c r="AD102">
        <v>1</v>
      </c>
      <c r="AE102">
        <v>0</v>
      </c>
      <c r="AF102" t="s">
        <v>20</v>
      </c>
      <c r="AG102">
        <v>0.12</v>
      </c>
      <c r="AH102">
        <v>3</v>
      </c>
      <c r="AI102">
        <v>-1</v>
      </c>
      <c r="AJ102" t="s">
        <v>3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 x14ac:dyDescent="0.2">
      <c r="A103">
        <f>ROW(Source!A184)</f>
        <v>184</v>
      </c>
      <c r="B103">
        <v>1471739874</v>
      </c>
      <c r="C103">
        <v>1471663538</v>
      </c>
      <c r="D103">
        <v>1441819193</v>
      </c>
      <c r="E103">
        <v>15514512</v>
      </c>
      <c r="F103">
        <v>1</v>
      </c>
      <c r="G103">
        <v>15514512</v>
      </c>
      <c r="H103">
        <v>1</v>
      </c>
      <c r="I103" t="s">
        <v>401</v>
      </c>
      <c r="J103" t="s">
        <v>3</v>
      </c>
      <c r="K103" t="s">
        <v>402</v>
      </c>
      <c r="L103">
        <v>1191</v>
      </c>
      <c r="N103">
        <v>1013</v>
      </c>
      <c r="O103" t="s">
        <v>403</v>
      </c>
      <c r="P103" t="s">
        <v>403</v>
      </c>
      <c r="Q103">
        <v>1</v>
      </c>
      <c r="X103">
        <v>0.4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1</v>
      </c>
      <c r="AE103">
        <v>1</v>
      </c>
      <c r="AF103" t="s">
        <v>3</v>
      </c>
      <c r="AG103">
        <v>0.4</v>
      </c>
      <c r="AH103">
        <v>3</v>
      </c>
      <c r="AI103">
        <v>-1</v>
      </c>
      <c r="AJ103" t="s">
        <v>3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 x14ac:dyDescent="0.2">
      <c r="A104">
        <f>ROW(Source!A184)</f>
        <v>184</v>
      </c>
      <c r="B104">
        <v>1471739875</v>
      </c>
      <c r="C104">
        <v>1471663538</v>
      </c>
      <c r="D104">
        <v>1441836235</v>
      </c>
      <c r="E104">
        <v>1</v>
      </c>
      <c r="F104">
        <v>1</v>
      </c>
      <c r="G104">
        <v>15514512</v>
      </c>
      <c r="H104">
        <v>3</v>
      </c>
      <c r="I104" t="s">
        <v>408</v>
      </c>
      <c r="J104" t="s">
        <v>409</v>
      </c>
      <c r="K104" t="s">
        <v>410</v>
      </c>
      <c r="L104">
        <v>1346</v>
      </c>
      <c r="N104">
        <v>1009</v>
      </c>
      <c r="O104" t="s">
        <v>411</v>
      </c>
      <c r="P104" t="s">
        <v>411</v>
      </c>
      <c r="Q104">
        <v>1</v>
      </c>
      <c r="X104">
        <v>0.2</v>
      </c>
      <c r="Y104">
        <v>31.49</v>
      </c>
      <c r="Z104">
        <v>0</v>
      </c>
      <c r="AA104">
        <v>0</v>
      </c>
      <c r="AB104">
        <v>0</v>
      </c>
      <c r="AC104">
        <v>0</v>
      </c>
      <c r="AD104">
        <v>1</v>
      </c>
      <c r="AE104">
        <v>0</v>
      </c>
      <c r="AF104" t="s">
        <v>3</v>
      </c>
      <c r="AG104">
        <v>0.2</v>
      </c>
      <c r="AH104">
        <v>3</v>
      </c>
      <c r="AI104">
        <v>-1</v>
      </c>
      <c r="AJ104" t="s">
        <v>3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 x14ac:dyDescent="0.2">
      <c r="A105">
        <f>ROW(Source!A185)</f>
        <v>185</v>
      </c>
      <c r="B105">
        <v>1471739896</v>
      </c>
      <c r="C105">
        <v>1471663545</v>
      </c>
      <c r="D105">
        <v>1441819193</v>
      </c>
      <c r="E105">
        <v>15514512</v>
      </c>
      <c r="F105">
        <v>1</v>
      </c>
      <c r="G105">
        <v>15514512</v>
      </c>
      <c r="H105">
        <v>1</v>
      </c>
      <c r="I105" t="s">
        <v>401</v>
      </c>
      <c r="J105" t="s">
        <v>3</v>
      </c>
      <c r="K105" t="s">
        <v>402</v>
      </c>
      <c r="L105">
        <v>1191</v>
      </c>
      <c r="N105">
        <v>1013</v>
      </c>
      <c r="O105" t="s">
        <v>403</v>
      </c>
      <c r="P105" t="s">
        <v>403</v>
      </c>
      <c r="Q105">
        <v>1</v>
      </c>
      <c r="X105">
        <v>0.18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1</v>
      </c>
      <c r="AE105">
        <v>1</v>
      </c>
      <c r="AF105" t="s">
        <v>3</v>
      </c>
      <c r="AG105">
        <v>0.18</v>
      </c>
      <c r="AH105">
        <v>3</v>
      </c>
      <c r="AI105">
        <v>-1</v>
      </c>
      <c r="AJ105" t="s">
        <v>3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 x14ac:dyDescent="0.2">
      <c r="A106">
        <f>ROW(Source!A185)</f>
        <v>185</v>
      </c>
      <c r="B106">
        <v>1471739897</v>
      </c>
      <c r="C106">
        <v>1471663545</v>
      </c>
      <c r="D106">
        <v>1441836235</v>
      </c>
      <c r="E106">
        <v>1</v>
      </c>
      <c r="F106">
        <v>1</v>
      </c>
      <c r="G106">
        <v>15514512</v>
      </c>
      <c r="H106">
        <v>3</v>
      </c>
      <c r="I106" t="s">
        <v>408</v>
      </c>
      <c r="J106" t="s">
        <v>409</v>
      </c>
      <c r="K106" t="s">
        <v>410</v>
      </c>
      <c r="L106">
        <v>1346</v>
      </c>
      <c r="N106">
        <v>1009</v>
      </c>
      <c r="O106" t="s">
        <v>411</v>
      </c>
      <c r="P106" t="s">
        <v>411</v>
      </c>
      <c r="Q106">
        <v>1</v>
      </c>
      <c r="X106">
        <v>0.2</v>
      </c>
      <c r="Y106">
        <v>31.49</v>
      </c>
      <c r="Z106">
        <v>0</v>
      </c>
      <c r="AA106">
        <v>0</v>
      </c>
      <c r="AB106">
        <v>0</v>
      </c>
      <c r="AC106">
        <v>0</v>
      </c>
      <c r="AD106">
        <v>1</v>
      </c>
      <c r="AE106">
        <v>0</v>
      </c>
      <c r="AF106" t="s">
        <v>3</v>
      </c>
      <c r="AG106">
        <v>0.2</v>
      </c>
      <c r="AH106">
        <v>3</v>
      </c>
      <c r="AI106">
        <v>-1</v>
      </c>
      <c r="AJ106" t="s">
        <v>3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 x14ac:dyDescent="0.2">
      <c r="A107">
        <f>ROW(Source!A186)</f>
        <v>186</v>
      </c>
      <c r="B107">
        <v>1471739916</v>
      </c>
      <c r="C107">
        <v>1471663552</v>
      </c>
      <c r="D107">
        <v>1441819193</v>
      </c>
      <c r="E107">
        <v>15514512</v>
      </c>
      <c r="F107">
        <v>1</v>
      </c>
      <c r="G107">
        <v>15514512</v>
      </c>
      <c r="H107">
        <v>1</v>
      </c>
      <c r="I107" t="s">
        <v>401</v>
      </c>
      <c r="J107" t="s">
        <v>3</v>
      </c>
      <c r="K107" t="s">
        <v>402</v>
      </c>
      <c r="L107">
        <v>1191</v>
      </c>
      <c r="N107">
        <v>1013</v>
      </c>
      <c r="O107" t="s">
        <v>403</v>
      </c>
      <c r="P107" t="s">
        <v>403</v>
      </c>
      <c r="Q107">
        <v>1</v>
      </c>
      <c r="X107">
        <v>0.24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1</v>
      </c>
      <c r="AE107">
        <v>1</v>
      </c>
      <c r="AF107" t="s">
        <v>163</v>
      </c>
      <c r="AG107">
        <v>0.72</v>
      </c>
      <c r="AH107">
        <v>3</v>
      </c>
      <c r="AI107">
        <v>-1</v>
      </c>
      <c r="AJ107" t="s">
        <v>3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 x14ac:dyDescent="0.2">
      <c r="A108">
        <f>ROW(Source!A187)</f>
        <v>187</v>
      </c>
      <c r="B108">
        <v>1471739917</v>
      </c>
      <c r="C108">
        <v>1471663556</v>
      </c>
      <c r="D108">
        <v>1441819193</v>
      </c>
      <c r="E108">
        <v>15514512</v>
      </c>
      <c r="F108">
        <v>1</v>
      </c>
      <c r="G108">
        <v>15514512</v>
      </c>
      <c r="H108">
        <v>1</v>
      </c>
      <c r="I108" t="s">
        <v>401</v>
      </c>
      <c r="J108" t="s">
        <v>3</v>
      </c>
      <c r="K108" t="s">
        <v>402</v>
      </c>
      <c r="L108">
        <v>1191</v>
      </c>
      <c r="N108">
        <v>1013</v>
      </c>
      <c r="O108" t="s">
        <v>403</v>
      </c>
      <c r="P108" t="s">
        <v>403</v>
      </c>
      <c r="Q108">
        <v>1</v>
      </c>
      <c r="X108">
        <v>0.1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1</v>
      </c>
      <c r="AE108">
        <v>1</v>
      </c>
      <c r="AF108" t="s">
        <v>3</v>
      </c>
      <c r="AG108">
        <v>0.1</v>
      </c>
      <c r="AH108">
        <v>3</v>
      </c>
      <c r="AI108">
        <v>-1</v>
      </c>
      <c r="AJ108" t="s">
        <v>3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 x14ac:dyDescent="0.2">
      <c r="A109">
        <f>ROW(Source!A187)</f>
        <v>187</v>
      </c>
      <c r="B109">
        <v>1471739919</v>
      </c>
      <c r="C109">
        <v>1471663556</v>
      </c>
      <c r="D109">
        <v>1441836235</v>
      </c>
      <c r="E109">
        <v>1</v>
      </c>
      <c r="F109">
        <v>1</v>
      </c>
      <c r="G109">
        <v>15514512</v>
      </c>
      <c r="H109">
        <v>3</v>
      </c>
      <c r="I109" t="s">
        <v>408</v>
      </c>
      <c r="J109" t="s">
        <v>409</v>
      </c>
      <c r="K109" t="s">
        <v>410</v>
      </c>
      <c r="L109">
        <v>1346</v>
      </c>
      <c r="N109">
        <v>1009</v>
      </c>
      <c r="O109" t="s">
        <v>411</v>
      </c>
      <c r="P109" t="s">
        <v>411</v>
      </c>
      <c r="Q109">
        <v>1</v>
      </c>
      <c r="X109">
        <v>1E-3</v>
      </c>
      <c r="Y109">
        <v>31.49</v>
      </c>
      <c r="Z109">
        <v>0</v>
      </c>
      <c r="AA109">
        <v>0</v>
      </c>
      <c r="AB109">
        <v>0</v>
      </c>
      <c r="AC109">
        <v>0</v>
      </c>
      <c r="AD109">
        <v>1</v>
      </c>
      <c r="AE109">
        <v>0</v>
      </c>
      <c r="AF109" t="s">
        <v>3</v>
      </c>
      <c r="AG109">
        <v>1E-3</v>
      </c>
      <c r="AH109">
        <v>3</v>
      </c>
      <c r="AI109">
        <v>-1</v>
      </c>
      <c r="AJ109" t="s">
        <v>3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 x14ac:dyDescent="0.2">
      <c r="A110">
        <f>ROW(Source!A187)</f>
        <v>187</v>
      </c>
      <c r="B110">
        <v>1471739918</v>
      </c>
      <c r="C110">
        <v>1471663556</v>
      </c>
      <c r="D110">
        <v>1441822228</v>
      </c>
      <c r="E110">
        <v>15514512</v>
      </c>
      <c r="F110">
        <v>1</v>
      </c>
      <c r="G110">
        <v>15514512</v>
      </c>
      <c r="H110">
        <v>3</v>
      </c>
      <c r="I110" t="s">
        <v>451</v>
      </c>
      <c r="J110" t="s">
        <v>3</v>
      </c>
      <c r="K110" t="s">
        <v>452</v>
      </c>
      <c r="L110">
        <v>1346</v>
      </c>
      <c r="N110">
        <v>1009</v>
      </c>
      <c r="O110" t="s">
        <v>411</v>
      </c>
      <c r="P110" t="s">
        <v>411</v>
      </c>
      <c r="Q110">
        <v>1</v>
      </c>
      <c r="X110">
        <v>2E-3</v>
      </c>
      <c r="Y110">
        <v>73.951729999999998</v>
      </c>
      <c r="Z110">
        <v>0</v>
      </c>
      <c r="AA110">
        <v>0</v>
      </c>
      <c r="AB110">
        <v>0</v>
      </c>
      <c r="AC110">
        <v>0</v>
      </c>
      <c r="AD110">
        <v>1</v>
      </c>
      <c r="AE110">
        <v>0</v>
      </c>
      <c r="AF110" t="s">
        <v>3</v>
      </c>
      <c r="AG110">
        <v>2E-3</v>
      </c>
      <c r="AH110">
        <v>3</v>
      </c>
      <c r="AI110">
        <v>-1</v>
      </c>
      <c r="AJ110" t="s">
        <v>3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 x14ac:dyDescent="0.2">
      <c r="A111">
        <f>ROW(Source!A188)</f>
        <v>188</v>
      </c>
      <c r="B111">
        <v>1471739921</v>
      </c>
      <c r="C111">
        <v>1471663566</v>
      </c>
      <c r="D111">
        <v>1441819193</v>
      </c>
      <c r="E111">
        <v>15514512</v>
      </c>
      <c r="F111">
        <v>1</v>
      </c>
      <c r="G111">
        <v>15514512</v>
      </c>
      <c r="H111">
        <v>1</v>
      </c>
      <c r="I111" t="s">
        <v>401</v>
      </c>
      <c r="J111" t="s">
        <v>3</v>
      </c>
      <c r="K111" t="s">
        <v>402</v>
      </c>
      <c r="L111">
        <v>1191</v>
      </c>
      <c r="N111">
        <v>1013</v>
      </c>
      <c r="O111" t="s">
        <v>403</v>
      </c>
      <c r="P111" t="s">
        <v>403</v>
      </c>
      <c r="Q111">
        <v>1</v>
      </c>
      <c r="X111">
        <v>3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1</v>
      </c>
      <c r="AE111">
        <v>1</v>
      </c>
      <c r="AF111" t="s">
        <v>42</v>
      </c>
      <c r="AG111">
        <v>6</v>
      </c>
      <c r="AH111">
        <v>3</v>
      </c>
      <c r="AI111">
        <v>-1</v>
      </c>
      <c r="AJ111" t="s">
        <v>3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 x14ac:dyDescent="0.2">
      <c r="A112">
        <f>ROW(Source!A188)</f>
        <v>188</v>
      </c>
      <c r="B112">
        <v>1471739923</v>
      </c>
      <c r="C112">
        <v>1471663566</v>
      </c>
      <c r="D112">
        <v>1441836237</v>
      </c>
      <c r="E112">
        <v>1</v>
      </c>
      <c r="F112">
        <v>1</v>
      </c>
      <c r="G112">
        <v>15514512</v>
      </c>
      <c r="H112">
        <v>3</v>
      </c>
      <c r="I112" t="s">
        <v>448</v>
      </c>
      <c r="J112" t="s">
        <v>449</v>
      </c>
      <c r="K112" t="s">
        <v>450</v>
      </c>
      <c r="L112">
        <v>1346</v>
      </c>
      <c r="N112">
        <v>1009</v>
      </c>
      <c r="O112" t="s">
        <v>411</v>
      </c>
      <c r="P112" t="s">
        <v>411</v>
      </c>
      <c r="Q112">
        <v>1</v>
      </c>
      <c r="X112">
        <v>0.06</v>
      </c>
      <c r="Y112">
        <v>375.16</v>
      </c>
      <c r="Z112">
        <v>0</v>
      </c>
      <c r="AA112">
        <v>0</v>
      </c>
      <c r="AB112">
        <v>0</v>
      </c>
      <c r="AC112">
        <v>0</v>
      </c>
      <c r="AD112">
        <v>1</v>
      </c>
      <c r="AE112">
        <v>0</v>
      </c>
      <c r="AF112" t="s">
        <v>42</v>
      </c>
      <c r="AG112">
        <v>0.12</v>
      </c>
      <c r="AH112">
        <v>3</v>
      </c>
      <c r="AI112">
        <v>-1</v>
      </c>
      <c r="AJ112" t="s">
        <v>3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 x14ac:dyDescent="0.2">
      <c r="A113">
        <f>ROW(Source!A188)</f>
        <v>188</v>
      </c>
      <c r="B113">
        <v>1471739924</v>
      </c>
      <c r="C113">
        <v>1471663566</v>
      </c>
      <c r="D113">
        <v>1441836235</v>
      </c>
      <c r="E113">
        <v>1</v>
      </c>
      <c r="F113">
        <v>1</v>
      </c>
      <c r="G113">
        <v>15514512</v>
      </c>
      <c r="H113">
        <v>3</v>
      </c>
      <c r="I113" t="s">
        <v>408</v>
      </c>
      <c r="J113" t="s">
        <v>409</v>
      </c>
      <c r="K113" t="s">
        <v>410</v>
      </c>
      <c r="L113">
        <v>1346</v>
      </c>
      <c r="N113">
        <v>1009</v>
      </c>
      <c r="O113" t="s">
        <v>411</v>
      </c>
      <c r="P113" t="s">
        <v>411</v>
      </c>
      <c r="Q113">
        <v>1</v>
      </c>
      <c r="X113">
        <v>0.02</v>
      </c>
      <c r="Y113">
        <v>31.49</v>
      </c>
      <c r="Z113">
        <v>0</v>
      </c>
      <c r="AA113">
        <v>0</v>
      </c>
      <c r="AB113">
        <v>0</v>
      </c>
      <c r="AC113">
        <v>0</v>
      </c>
      <c r="AD113">
        <v>1</v>
      </c>
      <c r="AE113">
        <v>0</v>
      </c>
      <c r="AF113" t="s">
        <v>42</v>
      </c>
      <c r="AG113">
        <v>0.04</v>
      </c>
      <c r="AH113">
        <v>3</v>
      </c>
      <c r="AI113">
        <v>-1</v>
      </c>
      <c r="AJ113" t="s">
        <v>3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 x14ac:dyDescent="0.2">
      <c r="A114">
        <f>ROW(Source!A188)</f>
        <v>188</v>
      </c>
      <c r="B114">
        <v>1471739922</v>
      </c>
      <c r="C114">
        <v>1471663566</v>
      </c>
      <c r="D114">
        <v>1441822228</v>
      </c>
      <c r="E114">
        <v>15514512</v>
      </c>
      <c r="F114">
        <v>1</v>
      </c>
      <c r="G114">
        <v>15514512</v>
      </c>
      <c r="H114">
        <v>3</v>
      </c>
      <c r="I114" t="s">
        <v>451</v>
      </c>
      <c r="J114" t="s">
        <v>3</v>
      </c>
      <c r="K114" t="s">
        <v>452</v>
      </c>
      <c r="L114">
        <v>1346</v>
      </c>
      <c r="N114">
        <v>1009</v>
      </c>
      <c r="O114" t="s">
        <v>411</v>
      </c>
      <c r="P114" t="s">
        <v>411</v>
      </c>
      <c r="Q114">
        <v>1</v>
      </c>
      <c r="X114">
        <v>0.02</v>
      </c>
      <c r="Y114">
        <v>73.951729999999998</v>
      </c>
      <c r="Z114">
        <v>0</v>
      </c>
      <c r="AA114">
        <v>0</v>
      </c>
      <c r="AB114">
        <v>0</v>
      </c>
      <c r="AC114">
        <v>0</v>
      </c>
      <c r="AD114">
        <v>1</v>
      </c>
      <c r="AE114">
        <v>0</v>
      </c>
      <c r="AF114" t="s">
        <v>42</v>
      </c>
      <c r="AG114">
        <v>0.04</v>
      </c>
      <c r="AH114">
        <v>3</v>
      </c>
      <c r="AI114">
        <v>-1</v>
      </c>
      <c r="AJ114" t="s">
        <v>3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  <row r="115" spans="1:44" x14ac:dyDescent="0.2">
      <c r="A115">
        <f>ROW(Source!A188)</f>
        <v>188</v>
      </c>
      <c r="B115">
        <v>1471739925</v>
      </c>
      <c r="C115">
        <v>1471663566</v>
      </c>
      <c r="D115">
        <v>1441834920</v>
      </c>
      <c r="E115">
        <v>1</v>
      </c>
      <c r="F115">
        <v>1</v>
      </c>
      <c r="G115">
        <v>15514512</v>
      </c>
      <c r="H115">
        <v>3</v>
      </c>
      <c r="I115" t="s">
        <v>453</v>
      </c>
      <c r="J115" t="s">
        <v>454</v>
      </c>
      <c r="K115" t="s">
        <v>455</v>
      </c>
      <c r="L115">
        <v>1346</v>
      </c>
      <c r="N115">
        <v>1009</v>
      </c>
      <c r="O115" t="s">
        <v>411</v>
      </c>
      <c r="P115" t="s">
        <v>411</v>
      </c>
      <c r="Q115">
        <v>1</v>
      </c>
      <c r="X115">
        <v>0.01</v>
      </c>
      <c r="Y115">
        <v>106.87</v>
      </c>
      <c r="Z115">
        <v>0</v>
      </c>
      <c r="AA115">
        <v>0</v>
      </c>
      <c r="AB115">
        <v>0</v>
      </c>
      <c r="AC115">
        <v>0</v>
      </c>
      <c r="AD115">
        <v>1</v>
      </c>
      <c r="AE115">
        <v>0</v>
      </c>
      <c r="AF115" t="s">
        <v>42</v>
      </c>
      <c r="AG115">
        <v>0.02</v>
      </c>
      <c r="AH115">
        <v>3</v>
      </c>
      <c r="AI115">
        <v>-1</v>
      </c>
      <c r="AJ115" t="s">
        <v>3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</row>
    <row r="116" spans="1:44" x14ac:dyDescent="0.2">
      <c r="A116">
        <f>ROW(Source!A190)</f>
        <v>190</v>
      </c>
      <c r="B116">
        <v>1471739927</v>
      </c>
      <c r="C116">
        <v>1471663583</v>
      </c>
      <c r="D116">
        <v>1441819193</v>
      </c>
      <c r="E116">
        <v>15514512</v>
      </c>
      <c r="F116">
        <v>1</v>
      </c>
      <c r="G116">
        <v>15514512</v>
      </c>
      <c r="H116">
        <v>1</v>
      </c>
      <c r="I116" t="s">
        <v>401</v>
      </c>
      <c r="J116" t="s">
        <v>3</v>
      </c>
      <c r="K116" t="s">
        <v>402</v>
      </c>
      <c r="L116">
        <v>1191</v>
      </c>
      <c r="N116">
        <v>1013</v>
      </c>
      <c r="O116" t="s">
        <v>403</v>
      </c>
      <c r="P116" t="s">
        <v>403</v>
      </c>
      <c r="Q116">
        <v>1</v>
      </c>
      <c r="X116">
        <v>10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1</v>
      </c>
      <c r="AE116">
        <v>1</v>
      </c>
      <c r="AF116" t="s">
        <v>3</v>
      </c>
      <c r="AG116">
        <v>10</v>
      </c>
      <c r="AH116">
        <v>3</v>
      </c>
      <c r="AI116">
        <v>-1</v>
      </c>
      <c r="AJ116" t="s">
        <v>3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</row>
    <row r="117" spans="1:44" x14ac:dyDescent="0.2">
      <c r="A117">
        <f>ROW(Source!A190)</f>
        <v>190</v>
      </c>
      <c r="B117">
        <v>1471739928</v>
      </c>
      <c r="C117">
        <v>1471663583</v>
      </c>
      <c r="D117">
        <v>1441836237</v>
      </c>
      <c r="E117">
        <v>1</v>
      </c>
      <c r="F117">
        <v>1</v>
      </c>
      <c r="G117">
        <v>15514512</v>
      </c>
      <c r="H117">
        <v>3</v>
      </c>
      <c r="I117" t="s">
        <v>448</v>
      </c>
      <c r="J117" t="s">
        <v>449</v>
      </c>
      <c r="K117" t="s">
        <v>450</v>
      </c>
      <c r="L117">
        <v>1346</v>
      </c>
      <c r="N117">
        <v>1009</v>
      </c>
      <c r="O117" t="s">
        <v>411</v>
      </c>
      <c r="P117" t="s">
        <v>411</v>
      </c>
      <c r="Q117">
        <v>1</v>
      </c>
      <c r="X117">
        <v>0.06</v>
      </c>
      <c r="Y117">
        <v>375.16</v>
      </c>
      <c r="Z117">
        <v>0</v>
      </c>
      <c r="AA117">
        <v>0</v>
      </c>
      <c r="AB117">
        <v>0</v>
      </c>
      <c r="AC117">
        <v>0</v>
      </c>
      <c r="AD117">
        <v>1</v>
      </c>
      <c r="AE117">
        <v>0</v>
      </c>
      <c r="AF117" t="s">
        <v>3</v>
      </c>
      <c r="AG117">
        <v>0.06</v>
      </c>
      <c r="AH117">
        <v>3</v>
      </c>
      <c r="AI117">
        <v>-1</v>
      </c>
      <c r="AJ117" t="s">
        <v>3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</row>
    <row r="118" spans="1:44" x14ac:dyDescent="0.2">
      <c r="A118">
        <f>ROW(Source!A191)</f>
        <v>191</v>
      </c>
      <c r="B118">
        <v>1471739929</v>
      </c>
      <c r="C118">
        <v>1471663590</v>
      </c>
      <c r="D118">
        <v>1441819193</v>
      </c>
      <c r="E118">
        <v>15514512</v>
      </c>
      <c r="F118">
        <v>1</v>
      </c>
      <c r="G118">
        <v>15514512</v>
      </c>
      <c r="H118">
        <v>1</v>
      </c>
      <c r="I118" t="s">
        <v>401</v>
      </c>
      <c r="J118" t="s">
        <v>3</v>
      </c>
      <c r="K118" t="s">
        <v>402</v>
      </c>
      <c r="L118">
        <v>1191</v>
      </c>
      <c r="N118">
        <v>1013</v>
      </c>
      <c r="O118" t="s">
        <v>403</v>
      </c>
      <c r="P118" t="s">
        <v>403</v>
      </c>
      <c r="Q118">
        <v>1</v>
      </c>
      <c r="X118">
        <v>0.33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1</v>
      </c>
      <c r="AE118">
        <v>1</v>
      </c>
      <c r="AF118" t="s">
        <v>3</v>
      </c>
      <c r="AG118">
        <v>0.33</v>
      </c>
      <c r="AH118">
        <v>3</v>
      </c>
      <c r="AI118">
        <v>-1</v>
      </c>
      <c r="AJ118" t="s">
        <v>3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</row>
    <row r="119" spans="1:44" x14ac:dyDescent="0.2">
      <c r="A119">
        <f>ROW(Source!A192)</f>
        <v>192</v>
      </c>
      <c r="B119">
        <v>1471739931</v>
      </c>
      <c r="C119">
        <v>1471663594</v>
      </c>
      <c r="D119">
        <v>1441819193</v>
      </c>
      <c r="E119">
        <v>15514512</v>
      </c>
      <c r="F119">
        <v>1</v>
      </c>
      <c r="G119">
        <v>15514512</v>
      </c>
      <c r="H119">
        <v>1</v>
      </c>
      <c r="I119" t="s">
        <v>401</v>
      </c>
      <c r="J119" t="s">
        <v>3</v>
      </c>
      <c r="K119" t="s">
        <v>402</v>
      </c>
      <c r="L119">
        <v>1191</v>
      </c>
      <c r="N119">
        <v>1013</v>
      </c>
      <c r="O119" t="s">
        <v>403</v>
      </c>
      <c r="P119" t="s">
        <v>403</v>
      </c>
      <c r="Q119">
        <v>1</v>
      </c>
      <c r="X119">
        <v>10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1</v>
      </c>
      <c r="AE119">
        <v>1</v>
      </c>
      <c r="AF119" t="s">
        <v>3</v>
      </c>
      <c r="AG119">
        <v>10</v>
      </c>
      <c r="AH119">
        <v>3</v>
      </c>
      <c r="AI119">
        <v>-1</v>
      </c>
      <c r="AJ119" t="s">
        <v>3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</row>
    <row r="120" spans="1:44" x14ac:dyDescent="0.2">
      <c r="A120">
        <f>ROW(Source!A192)</f>
        <v>192</v>
      </c>
      <c r="B120">
        <v>1471739932</v>
      </c>
      <c r="C120">
        <v>1471663594</v>
      </c>
      <c r="D120">
        <v>1441836237</v>
      </c>
      <c r="E120">
        <v>1</v>
      </c>
      <c r="F120">
        <v>1</v>
      </c>
      <c r="G120">
        <v>15514512</v>
      </c>
      <c r="H120">
        <v>3</v>
      </c>
      <c r="I120" t="s">
        <v>448</v>
      </c>
      <c r="J120" t="s">
        <v>449</v>
      </c>
      <c r="K120" t="s">
        <v>450</v>
      </c>
      <c r="L120">
        <v>1346</v>
      </c>
      <c r="N120">
        <v>1009</v>
      </c>
      <c r="O120" t="s">
        <v>411</v>
      </c>
      <c r="P120" t="s">
        <v>411</v>
      </c>
      <c r="Q120">
        <v>1</v>
      </c>
      <c r="X120">
        <v>0.06</v>
      </c>
      <c r="Y120">
        <v>375.16</v>
      </c>
      <c r="Z120">
        <v>0</v>
      </c>
      <c r="AA120">
        <v>0</v>
      </c>
      <c r="AB120">
        <v>0</v>
      </c>
      <c r="AC120">
        <v>0</v>
      </c>
      <c r="AD120">
        <v>1</v>
      </c>
      <c r="AE120">
        <v>0</v>
      </c>
      <c r="AF120" t="s">
        <v>3</v>
      </c>
      <c r="AG120">
        <v>0.06</v>
      </c>
      <c r="AH120">
        <v>3</v>
      </c>
      <c r="AI120">
        <v>-1</v>
      </c>
      <c r="AJ120" t="s">
        <v>3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</row>
    <row r="121" spans="1:44" x14ac:dyDescent="0.2">
      <c r="A121">
        <f>ROW(Source!A193)</f>
        <v>193</v>
      </c>
      <c r="B121">
        <v>1471739933</v>
      </c>
      <c r="C121">
        <v>1471663601</v>
      </c>
      <c r="D121">
        <v>1441819193</v>
      </c>
      <c r="E121">
        <v>15514512</v>
      </c>
      <c r="F121">
        <v>1</v>
      </c>
      <c r="G121">
        <v>15514512</v>
      </c>
      <c r="H121">
        <v>1</v>
      </c>
      <c r="I121" t="s">
        <v>401</v>
      </c>
      <c r="J121" t="s">
        <v>3</v>
      </c>
      <c r="K121" t="s">
        <v>402</v>
      </c>
      <c r="L121">
        <v>1191</v>
      </c>
      <c r="N121">
        <v>1013</v>
      </c>
      <c r="O121" t="s">
        <v>403</v>
      </c>
      <c r="P121" t="s">
        <v>403</v>
      </c>
      <c r="Q121">
        <v>1</v>
      </c>
      <c r="X121">
        <v>0.33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1</v>
      </c>
      <c r="AE121">
        <v>1</v>
      </c>
      <c r="AF121" t="s">
        <v>3</v>
      </c>
      <c r="AG121">
        <v>0.33</v>
      </c>
      <c r="AH121">
        <v>3</v>
      </c>
      <c r="AI121">
        <v>-1</v>
      </c>
      <c r="AJ121" t="s">
        <v>3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</row>
    <row r="122" spans="1:44" x14ac:dyDescent="0.2">
      <c r="A122">
        <f>ROW(Source!A194)</f>
        <v>194</v>
      </c>
      <c r="B122">
        <v>1471739934</v>
      </c>
      <c r="C122">
        <v>1471663605</v>
      </c>
      <c r="D122">
        <v>1441819193</v>
      </c>
      <c r="E122">
        <v>15514512</v>
      </c>
      <c r="F122">
        <v>1</v>
      </c>
      <c r="G122">
        <v>15514512</v>
      </c>
      <c r="H122">
        <v>1</v>
      </c>
      <c r="I122" t="s">
        <v>401</v>
      </c>
      <c r="J122" t="s">
        <v>3</v>
      </c>
      <c r="K122" t="s">
        <v>402</v>
      </c>
      <c r="L122">
        <v>1191</v>
      </c>
      <c r="N122">
        <v>1013</v>
      </c>
      <c r="O122" t="s">
        <v>403</v>
      </c>
      <c r="P122" t="s">
        <v>403</v>
      </c>
      <c r="Q122">
        <v>1</v>
      </c>
      <c r="X122">
        <v>11.1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1</v>
      </c>
      <c r="AE122">
        <v>1</v>
      </c>
      <c r="AF122" t="s">
        <v>3</v>
      </c>
      <c r="AG122">
        <v>11.1</v>
      </c>
      <c r="AH122">
        <v>3</v>
      </c>
      <c r="AI122">
        <v>-1</v>
      </c>
      <c r="AJ122" t="s">
        <v>3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</row>
    <row r="123" spans="1:44" x14ac:dyDescent="0.2">
      <c r="A123">
        <f>ROW(Source!A194)</f>
        <v>194</v>
      </c>
      <c r="B123">
        <v>1471739935</v>
      </c>
      <c r="C123">
        <v>1471663605</v>
      </c>
      <c r="D123">
        <v>1441836237</v>
      </c>
      <c r="E123">
        <v>1</v>
      </c>
      <c r="F123">
        <v>1</v>
      </c>
      <c r="G123">
        <v>15514512</v>
      </c>
      <c r="H123">
        <v>3</v>
      </c>
      <c r="I123" t="s">
        <v>448</v>
      </c>
      <c r="J123" t="s">
        <v>449</v>
      </c>
      <c r="K123" t="s">
        <v>450</v>
      </c>
      <c r="L123">
        <v>1346</v>
      </c>
      <c r="N123">
        <v>1009</v>
      </c>
      <c r="O123" t="s">
        <v>411</v>
      </c>
      <c r="P123" t="s">
        <v>411</v>
      </c>
      <c r="Q123">
        <v>1</v>
      </c>
      <c r="X123">
        <v>0.06</v>
      </c>
      <c r="Y123">
        <v>375.16</v>
      </c>
      <c r="Z123">
        <v>0</v>
      </c>
      <c r="AA123">
        <v>0</v>
      </c>
      <c r="AB123">
        <v>0</v>
      </c>
      <c r="AC123">
        <v>0</v>
      </c>
      <c r="AD123">
        <v>1</v>
      </c>
      <c r="AE123">
        <v>0</v>
      </c>
      <c r="AF123" t="s">
        <v>3</v>
      </c>
      <c r="AG123">
        <v>0.06</v>
      </c>
      <c r="AH123">
        <v>3</v>
      </c>
      <c r="AI123">
        <v>-1</v>
      </c>
      <c r="AJ123" t="s">
        <v>3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</row>
    <row r="124" spans="1:44" x14ac:dyDescent="0.2">
      <c r="A124">
        <f>ROW(Source!A195)</f>
        <v>195</v>
      </c>
      <c r="B124">
        <v>1471739936</v>
      </c>
      <c r="C124">
        <v>1471663614</v>
      </c>
      <c r="D124">
        <v>1441819193</v>
      </c>
      <c r="E124">
        <v>15514512</v>
      </c>
      <c r="F124">
        <v>1</v>
      </c>
      <c r="G124">
        <v>15514512</v>
      </c>
      <c r="H124">
        <v>1</v>
      </c>
      <c r="I124" t="s">
        <v>401</v>
      </c>
      <c r="J124" t="s">
        <v>3</v>
      </c>
      <c r="K124" t="s">
        <v>402</v>
      </c>
      <c r="L124">
        <v>1191</v>
      </c>
      <c r="N124">
        <v>1013</v>
      </c>
      <c r="O124" t="s">
        <v>403</v>
      </c>
      <c r="P124" t="s">
        <v>403</v>
      </c>
      <c r="Q124">
        <v>1</v>
      </c>
      <c r="X124">
        <v>0.38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1</v>
      </c>
      <c r="AE124">
        <v>1</v>
      </c>
      <c r="AF124" t="s">
        <v>3</v>
      </c>
      <c r="AG124">
        <v>0.38</v>
      </c>
      <c r="AH124">
        <v>3</v>
      </c>
      <c r="AI124">
        <v>-1</v>
      </c>
      <c r="AJ124" t="s">
        <v>3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</row>
    <row r="125" spans="1:44" x14ac:dyDescent="0.2">
      <c r="A125">
        <f>ROW(Source!A197)</f>
        <v>197</v>
      </c>
      <c r="B125">
        <v>1471739937</v>
      </c>
      <c r="C125">
        <v>1471663619</v>
      </c>
      <c r="D125">
        <v>1441819193</v>
      </c>
      <c r="E125">
        <v>15514512</v>
      </c>
      <c r="F125">
        <v>1</v>
      </c>
      <c r="G125">
        <v>15514512</v>
      </c>
      <c r="H125">
        <v>1</v>
      </c>
      <c r="I125" t="s">
        <v>401</v>
      </c>
      <c r="J125" t="s">
        <v>3</v>
      </c>
      <c r="K125" t="s">
        <v>402</v>
      </c>
      <c r="L125">
        <v>1191</v>
      </c>
      <c r="N125">
        <v>1013</v>
      </c>
      <c r="O125" t="s">
        <v>403</v>
      </c>
      <c r="P125" t="s">
        <v>403</v>
      </c>
      <c r="Q125">
        <v>1</v>
      </c>
      <c r="X125">
        <v>0.34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1</v>
      </c>
      <c r="AE125">
        <v>1</v>
      </c>
      <c r="AF125" t="s">
        <v>3</v>
      </c>
      <c r="AG125">
        <v>0.34</v>
      </c>
      <c r="AH125">
        <v>3</v>
      </c>
      <c r="AI125">
        <v>-1</v>
      </c>
      <c r="AJ125" t="s">
        <v>3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</row>
    <row r="126" spans="1:44" x14ac:dyDescent="0.2">
      <c r="A126">
        <f>ROW(Source!A197)</f>
        <v>197</v>
      </c>
      <c r="B126">
        <v>1471739938</v>
      </c>
      <c r="C126">
        <v>1471663619</v>
      </c>
      <c r="D126">
        <v>1441836912</v>
      </c>
      <c r="E126">
        <v>1</v>
      </c>
      <c r="F126">
        <v>1</v>
      </c>
      <c r="G126">
        <v>15514512</v>
      </c>
      <c r="H126">
        <v>3</v>
      </c>
      <c r="I126" t="s">
        <v>463</v>
      </c>
      <c r="J126" t="s">
        <v>464</v>
      </c>
      <c r="K126" t="s">
        <v>465</v>
      </c>
      <c r="L126">
        <v>1354</v>
      </c>
      <c r="N126">
        <v>16987630</v>
      </c>
      <c r="O126" t="s">
        <v>36</v>
      </c>
      <c r="P126" t="s">
        <v>36</v>
      </c>
      <c r="Q126">
        <v>1</v>
      </c>
      <c r="X126">
        <v>0.3</v>
      </c>
      <c r="Y126">
        <v>27.52</v>
      </c>
      <c r="Z126">
        <v>0</v>
      </c>
      <c r="AA126">
        <v>0</v>
      </c>
      <c r="AB126">
        <v>0</v>
      </c>
      <c r="AC126">
        <v>0</v>
      </c>
      <c r="AD126">
        <v>1</v>
      </c>
      <c r="AE126">
        <v>0</v>
      </c>
      <c r="AF126" t="s">
        <v>3</v>
      </c>
      <c r="AG126">
        <v>0.3</v>
      </c>
      <c r="AH126">
        <v>3</v>
      </c>
      <c r="AI126">
        <v>-1</v>
      </c>
      <c r="AJ126" t="s">
        <v>3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</row>
    <row r="127" spans="1:44" x14ac:dyDescent="0.2">
      <c r="A127">
        <f>ROW(Source!A198)</f>
        <v>198</v>
      </c>
      <c r="B127">
        <v>1471739939</v>
      </c>
      <c r="C127">
        <v>1471663626</v>
      </c>
      <c r="D127">
        <v>1441819193</v>
      </c>
      <c r="E127">
        <v>15514512</v>
      </c>
      <c r="F127">
        <v>1</v>
      </c>
      <c r="G127">
        <v>15514512</v>
      </c>
      <c r="H127">
        <v>1</v>
      </c>
      <c r="I127" t="s">
        <v>401</v>
      </c>
      <c r="J127" t="s">
        <v>3</v>
      </c>
      <c r="K127" t="s">
        <v>402</v>
      </c>
      <c r="L127">
        <v>1191</v>
      </c>
      <c r="N127">
        <v>1013</v>
      </c>
      <c r="O127" t="s">
        <v>403</v>
      </c>
      <c r="P127" t="s">
        <v>403</v>
      </c>
      <c r="Q127">
        <v>1</v>
      </c>
      <c r="X127">
        <v>10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1</v>
      </c>
      <c r="AE127">
        <v>1</v>
      </c>
      <c r="AF127" t="s">
        <v>3</v>
      </c>
      <c r="AG127">
        <v>10</v>
      </c>
      <c r="AH127">
        <v>3</v>
      </c>
      <c r="AI127">
        <v>-1</v>
      </c>
      <c r="AJ127" t="s">
        <v>3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</row>
    <row r="128" spans="1:44" x14ac:dyDescent="0.2">
      <c r="A128">
        <f>ROW(Source!A198)</f>
        <v>198</v>
      </c>
      <c r="B128">
        <v>1471739940</v>
      </c>
      <c r="C128">
        <v>1471663626</v>
      </c>
      <c r="D128">
        <v>1441836237</v>
      </c>
      <c r="E128">
        <v>1</v>
      </c>
      <c r="F128">
        <v>1</v>
      </c>
      <c r="G128">
        <v>15514512</v>
      </c>
      <c r="H128">
        <v>3</v>
      </c>
      <c r="I128" t="s">
        <v>448</v>
      </c>
      <c r="J128" t="s">
        <v>449</v>
      </c>
      <c r="K128" t="s">
        <v>450</v>
      </c>
      <c r="L128">
        <v>1346</v>
      </c>
      <c r="N128">
        <v>1009</v>
      </c>
      <c r="O128" t="s">
        <v>411</v>
      </c>
      <c r="P128" t="s">
        <v>411</v>
      </c>
      <c r="Q128">
        <v>1</v>
      </c>
      <c r="X128">
        <v>0.06</v>
      </c>
      <c r="Y128">
        <v>375.16</v>
      </c>
      <c r="Z128">
        <v>0</v>
      </c>
      <c r="AA128">
        <v>0</v>
      </c>
      <c r="AB128">
        <v>0</v>
      </c>
      <c r="AC128">
        <v>0</v>
      </c>
      <c r="AD128">
        <v>1</v>
      </c>
      <c r="AE128">
        <v>0</v>
      </c>
      <c r="AF128" t="s">
        <v>3</v>
      </c>
      <c r="AG128">
        <v>0.06</v>
      </c>
      <c r="AH128">
        <v>3</v>
      </c>
      <c r="AI128">
        <v>-1</v>
      </c>
      <c r="AJ128" t="s">
        <v>3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</row>
    <row r="129" spans="1:44" x14ac:dyDescent="0.2">
      <c r="A129">
        <f>ROW(Source!A199)</f>
        <v>199</v>
      </c>
      <c r="B129">
        <v>1471739942</v>
      </c>
      <c r="C129">
        <v>1471663633</v>
      </c>
      <c r="D129">
        <v>1441819193</v>
      </c>
      <c r="E129">
        <v>15514512</v>
      </c>
      <c r="F129">
        <v>1</v>
      </c>
      <c r="G129">
        <v>15514512</v>
      </c>
      <c r="H129">
        <v>1</v>
      </c>
      <c r="I129" t="s">
        <v>401</v>
      </c>
      <c r="J129" t="s">
        <v>3</v>
      </c>
      <c r="K129" t="s">
        <v>402</v>
      </c>
      <c r="L129">
        <v>1191</v>
      </c>
      <c r="N129">
        <v>1013</v>
      </c>
      <c r="O129" t="s">
        <v>403</v>
      </c>
      <c r="P129" t="s">
        <v>403</v>
      </c>
      <c r="Q129">
        <v>1</v>
      </c>
      <c r="X129">
        <v>0.33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1</v>
      </c>
      <c r="AE129">
        <v>1</v>
      </c>
      <c r="AF129" t="s">
        <v>3</v>
      </c>
      <c r="AG129">
        <v>0.33</v>
      </c>
      <c r="AH129">
        <v>3</v>
      </c>
      <c r="AI129">
        <v>-1</v>
      </c>
      <c r="AJ129" t="s">
        <v>3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</row>
    <row r="130" spans="1:44" x14ac:dyDescent="0.2">
      <c r="A130">
        <f>ROW(Source!A269)</f>
        <v>269</v>
      </c>
      <c r="B130">
        <v>1471739943</v>
      </c>
      <c r="C130">
        <v>1471663637</v>
      </c>
      <c r="D130">
        <v>1441819193</v>
      </c>
      <c r="E130">
        <v>15514512</v>
      </c>
      <c r="F130">
        <v>1</v>
      </c>
      <c r="G130">
        <v>15514512</v>
      </c>
      <c r="H130">
        <v>1</v>
      </c>
      <c r="I130" t="s">
        <v>401</v>
      </c>
      <c r="J130" t="s">
        <v>3</v>
      </c>
      <c r="K130" t="s">
        <v>402</v>
      </c>
      <c r="L130">
        <v>1191</v>
      </c>
      <c r="N130">
        <v>1013</v>
      </c>
      <c r="O130" t="s">
        <v>403</v>
      </c>
      <c r="P130" t="s">
        <v>403</v>
      </c>
      <c r="Q130">
        <v>1</v>
      </c>
      <c r="X130">
        <v>1.26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1</v>
      </c>
      <c r="AE130">
        <v>1</v>
      </c>
      <c r="AF130" t="s">
        <v>46</v>
      </c>
      <c r="AG130">
        <v>21.42</v>
      </c>
      <c r="AH130">
        <v>3</v>
      </c>
      <c r="AI130">
        <v>-1</v>
      </c>
      <c r="AJ130" t="s">
        <v>3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</row>
    <row r="131" spans="1:44" x14ac:dyDescent="0.2">
      <c r="A131">
        <f>ROW(Source!A270)</f>
        <v>270</v>
      </c>
      <c r="B131">
        <v>1471739944</v>
      </c>
      <c r="C131">
        <v>1471663641</v>
      </c>
      <c r="D131">
        <v>1441819193</v>
      </c>
      <c r="E131">
        <v>15514512</v>
      </c>
      <c r="F131">
        <v>1</v>
      </c>
      <c r="G131">
        <v>15514512</v>
      </c>
      <c r="H131">
        <v>1</v>
      </c>
      <c r="I131" t="s">
        <v>401</v>
      </c>
      <c r="J131" t="s">
        <v>3</v>
      </c>
      <c r="K131" t="s">
        <v>402</v>
      </c>
      <c r="L131">
        <v>1191</v>
      </c>
      <c r="N131">
        <v>1013</v>
      </c>
      <c r="O131" t="s">
        <v>403</v>
      </c>
      <c r="P131" t="s">
        <v>403</v>
      </c>
      <c r="Q131">
        <v>1</v>
      </c>
      <c r="X131">
        <v>0.23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1</v>
      </c>
      <c r="AE131">
        <v>1</v>
      </c>
      <c r="AF131" t="s">
        <v>46</v>
      </c>
      <c r="AG131">
        <v>3.91</v>
      </c>
      <c r="AH131">
        <v>3</v>
      </c>
      <c r="AI131">
        <v>-1</v>
      </c>
      <c r="AJ131" t="s">
        <v>3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</row>
    <row r="132" spans="1:44" x14ac:dyDescent="0.2">
      <c r="A132">
        <f>ROW(Source!A271)</f>
        <v>271</v>
      </c>
      <c r="B132">
        <v>1471739945</v>
      </c>
      <c r="C132">
        <v>1471663645</v>
      </c>
      <c r="D132">
        <v>1441819193</v>
      </c>
      <c r="E132">
        <v>15514512</v>
      </c>
      <c r="F132">
        <v>1</v>
      </c>
      <c r="G132">
        <v>15514512</v>
      </c>
      <c r="H132">
        <v>1</v>
      </c>
      <c r="I132" t="s">
        <v>401</v>
      </c>
      <c r="J132" t="s">
        <v>3</v>
      </c>
      <c r="K132" t="s">
        <v>402</v>
      </c>
      <c r="L132">
        <v>1191</v>
      </c>
      <c r="N132">
        <v>1013</v>
      </c>
      <c r="O132" t="s">
        <v>403</v>
      </c>
      <c r="P132" t="s">
        <v>403</v>
      </c>
      <c r="Q132">
        <v>1</v>
      </c>
      <c r="X132">
        <v>104.44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1</v>
      </c>
      <c r="AE132">
        <v>1</v>
      </c>
      <c r="AF132" t="s">
        <v>3</v>
      </c>
      <c r="AG132">
        <v>104.44</v>
      </c>
      <c r="AH132">
        <v>3</v>
      </c>
      <c r="AI132">
        <v>-1</v>
      </c>
      <c r="AJ132" t="s">
        <v>3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</row>
    <row r="133" spans="1:44" x14ac:dyDescent="0.2">
      <c r="A133">
        <f>ROW(Source!A271)</f>
        <v>271</v>
      </c>
      <c r="B133">
        <v>1471739946</v>
      </c>
      <c r="C133">
        <v>1471663645</v>
      </c>
      <c r="D133">
        <v>1441834334</v>
      </c>
      <c r="E133">
        <v>1</v>
      </c>
      <c r="F133">
        <v>1</v>
      </c>
      <c r="G133">
        <v>15514512</v>
      </c>
      <c r="H133">
        <v>2</v>
      </c>
      <c r="I133" t="s">
        <v>412</v>
      </c>
      <c r="J133" t="s">
        <v>413</v>
      </c>
      <c r="K133" t="s">
        <v>414</v>
      </c>
      <c r="L133">
        <v>1368</v>
      </c>
      <c r="N133">
        <v>1011</v>
      </c>
      <c r="O133" t="s">
        <v>407</v>
      </c>
      <c r="P133" t="s">
        <v>407</v>
      </c>
      <c r="Q133">
        <v>1</v>
      </c>
      <c r="X133">
        <v>5.8</v>
      </c>
      <c r="Y133">
        <v>0</v>
      </c>
      <c r="Z133">
        <v>10.66</v>
      </c>
      <c r="AA133">
        <v>0.12</v>
      </c>
      <c r="AB133">
        <v>0</v>
      </c>
      <c r="AC133">
        <v>0</v>
      </c>
      <c r="AD133">
        <v>1</v>
      </c>
      <c r="AE133">
        <v>0</v>
      </c>
      <c r="AF133" t="s">
        <v>3</v>
      </c>
      <c r="AG133">
        <v>5.8</v>
      </c>
      <c r="AH133">
        <v>3</v>
      </c>
      <c r="AI133">
        <v>-1</v>
      </c>
      <c r="AJ133" t="s">
        <v>3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</row>
    <row r="134" spans="1:44" x14ac:dyDescent="0.2">
      <c r="A134">
        <f>ROW(Source!A271)</f>
        <v>271</v>
      </c>
      <c r="B134">
        <v>1471739948</v>
      </c>
      <c r="C134">
        <v>1471663645</v>
      </c>
      <c r="D134">
        <v>1441834443</v>
      </c>
      <c r="E134">
        <v>1</v>
      </c>
      <c r="F134">
        <v>1</v>
      </c>
      <c r="G134">
        <v>15514512</v>
      </c>
      <c r="H134">
        <v>3</v>
      </c>
      <c r="I134" t="s">
        <v>415</v>
      </c>
      <c r="J134" t="s">
        <v>416</v>
      </c>
      <c r="K134" t="s">
        <v>417</v>
      </c>
      <c r="L134">
        <v>1296</v>
      </c>
      <c r="N134">
        <v>1002</v>
      </c>
      <c r="O134" t="s">
        <v>418</v>
      </c>
      <c r="P134" t="s">
        <v>418</v>
      </c>
      <c r="Q134">
        <v>1</v>
      </c>
      <c r="X134">
        <v>0.31</v>
      </c>
      <c r="Y134">
        <v>785.72</v>
      </c>
      <c r="Z134">
        <v>0</v>
      </c>
      <c r="AA134">
        <v>0</v>
      </c>
      <c r="AB134">
        <v>0</v>
      </c>
      <c r="AC134">
        <v>0</v>
      </c>
      <c r="AD134">
        <v>1</v>
      </c>
      <c r="AE134">
        <v>0</v>
      </c>
      <c r="AF134" t="s">
        <v>3</v>
      </c>
      <c r="AG134">
        <v>0.31</v>
      </c>
      <c r="AH134">
        <v>3</v>
      </c>
      <c r="AI134">
        <v>-1</v>
      </c>
      <c r="AJ134" t="s">
        <v>3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</row>
    <row r="135" spans="1:44" x14ac:dyDescent="0.2">
      <c r="A135">
        <f>ROW(Source!A271)</f>
        <v>271</v>
      </c>
      <c r="B135">
        <v>1471739949</v>
      </c>
      <c r="C135">
        <v>1471663645</v>
      </c>
      <c r="D135">
        <v>1441821225</v>
      </c>
      <c r="E135">
        <v>15514512</v>
      </c>
      <c r="F135">
        <v>1</v>
      </c>
      <c r="G135">
        <v>15514512</v>
      </c>
      <c r="H135">
        <v>3</v>
      </c>
      <c r="I135" t="s">
        <v>419</v>
      </c>
      <c r="J135" t="s">
        <v>3</v>
      </c>
      <c r="K135" t="s">
        <v>420</v>
      </c>
      <c r="L135">
        <v>1346</v>
      </c>
      <c r="N135">
        <v>1009</v>
      </c>
      <c r="O135" t="s">
        <v>411</v>
      </c>
      <c r="P135" t="s">
        <v>411</v>
      </c>
      <c r="Q135">
        <v>1</v>
      </c>
      <c r="X135">
        <v>1.08</v>
      </c>
      <c r="Y135">
        <v>292.57515999999998</v>
      </c>
      <c r="Z135">
        <v>0</v>
      </c>
      <c r="AA135">
        <v>0</v>
      </c>
      <c r="AB135">
        <v>0</v>
      </c>
      <c r="AC135">
        <v>0</v>
      </c>
      <c r="AD135">
        <v>1</v>
      </c>
      <c r="AE135">
        <v>0</v>
      </c>
      <c r="AF135" t="s">
        <v>3</v>
      </c>
      <c r="AG135">
        <v>1.08</v>
      </c>
      <c r="AH135">
        <v>3</v>
      </c>
      <c r="AI135">
        <v>-1</v>
      </c>
      <c r="AJ135" t="s">
        <v>3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</row>
    <row r="136" spans="1:44" x14ac:dyDescent="0.2">
      <c r="A136">
        <f>ROW(Source!A271)</f>
        <v>271</v>
      </c>
      <c r="B136">
        <v>1471739947</v>
      </c>
      <c r="C136">
        <v>1471663645</v>
      </c>
      <c r="D136">
        <v>1441821223</v>
      </c>
      <c r="E136">
        <v>15514512</v>
      </c>
      <c r="F136">
        <v>1</v>
      </c>
      <c r="G136">
        <v>15514512</v>
      </c>
      <c r="H136">
        <v>3</v>
      </c>
      <c r="I136" t="s">
        <v>421</v>
      </c>
      <c r="J136" t="s">
        <v>3</v>
      </c>
      <c r="K136" t="s">
        <v>422</v>
      </c>
      <c r="L136">
        <v>1346</v>
      </c>
      <c r="N136">
        <v>1009</v>
      </c>
      <c r="O136" t="s">
        <v>411</v>
      </c>
      <c r="P136" t="s">
        <v>411</v>
      </c>
      <c r="Q136">
        <v>1</v>
      </c>
      <c r="X136">
        <v>0.98</v>
      </c>
      <c r="Y136">
        <v>221.4237</v>
      </c>
      <c r="Z136">
        <v>0</v>
      </c>
      <c r="AA136">
        <v>0</v>
      </c>
      <c r="AB136">
        <v>0</v>
      </c>
      <c r="AC136">
        <v>0</v>
      </c>
      <c r="AD136">
        <v>1</v>
      </c>
      <c r="AE136">
        <v>0</v>
      </c>
      <c r="AF136" t="s">
        <v>3</v>
      </c>
      <c r="AG136">
        <v>0.98</v>
      </c>
      <c r="AH136">
        <v>3</v>
      </c>
      <c r="AI136">
        <v>-1</v>
      </c>
      <c r="AJ136" t="s">
        <v>3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</row>
    <row r="137" spans="1:44" x14ac:dyDescent="0.2">
      <c r="A137">
        <f>ROW(Source!A272)</f>
        <v>272</v>
      </c>
      <c r="B137">
        <v>1471739950</v>
      </c>
      <c r="C137">
        <v>1471663661</v>
      </c>
      <c r="D137">
        <v>1441819193</v>
      </c>
      <c r="E137">
        <v>15514512</v>
      </c>
      <c r="F137">
        <v>1</v>
      </c>
      <c r="G137">
        <v>15514512</v>
      </c>
      <c r="H137">
        <v>1</v>
      </c>
      <c r="I137" t="s">
        <v>401</v>
      </c>
      <c r="J137" t="s">
        <v>3</v>
      </c>
      <c r="K137" t="s">
        <v>402</v>
      </c>
      <c r="L137">
        <v>1191</v>
      </c>
      <c r="N137">
        <v>1013</v>
      </c>
      <c r="O137" t="s">
        <v>403</v>
      </c>
      <c r="P137" t="s">
        <v>403</v>
      </c>
      <c r="Q137">
        <v>1</v>
      </c>
      <c r="X137">
        <v>151.93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1</v>
      </c>
      <c r="AE137">
        <v>1</v>
      </c>
      <c r="AF137" t="s">
        <v>3</v>
      </c>
      <c r="AG137">
        <v>151.93</v>
      </c>
      <c r="AH137">
        <v>3</v>
      </c>
      <c r="AI137">
        <v>-1</v>
      </c>
      <c r="AJ137" t="s">
        <v>3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</row>
    <row r="138" spans="1:44" x14ac:dyDescent="0.2">
      <c r="A138">
        <f>ROW(Source!A272)</f>
        <v>272</v>
      </c>
      <c r="B138">
        <v>1471739951</v>
      </c>
      <c r="C138">
        <v>1471663661</v>
      </c>
      <c r="D138">
        <v>1441834334</v>
      </c>
      <c r="E138">
        <v>1</v>
      </c>
      <c r="F138">
        <v>1</v>
      </c>
      <c r="G138">
        <v>15514512</v>
      </c>
      <c r="H138">
        <v>2</v>
      </c>
      <c r="I138" t="s">
        <v>412</v>
      </c>
      <c r="J138" t="s">
        <v>413</v>
      </c>
      <c r="K138" t="s">
        <v>414</v>
      </c>
      <c r="L138">
        <v>1368</v>
      </c>
      <c r="N138">
        <v>1011</v>
      </c>
      <c r="O138" t="s">
        <v>407</v>
      </c>
      <c r="P138" t="s">
        <v>407</v>
      </c>
      <c r="Q138">
        <v>1</v>
      </c>
      <c r="X138">
        <v>5.8</v>
      </c>
      <c r="Y138">
        <v>0</v>
      </c>
      <c r="Z138">
        <v>10.66</v>
      </c>
      <c r="AA138">
        <v>0.12</v>
      </c>
      <c r="AB138">
        <v>0</v>
      </c>
      <c r="AC138">
        <v>0</v>
      </c>
      <c r="AD138">
        <v>1</v>
      </c>
      <c r="AE138">
        <v>0</v>
      </c>
      <c r="AF138" t="s">
        <v>3</v>
      </c>
      <c r="AG138">
        <v>5.8</v>
      </c>
      <c r="AH138">
        <v>3</v>
      </c>
      <c r="AI138">
        <v>-1</v>
      </c>
      <c r="AJ138" t="s">
        <v>3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</row>
    <row r="139" spans="1:44" x14ac:dyDescent="0.2">
      <c r="A139">
        <f>ROW(Source!A272)</f>
        <v>272</v>
      </c>
      <c r="B139">
        <v>1471739953</v>
      </c>
      <c r="C139">
        <v>1471663661</v>
      </c>
      <c r="D139">
        <v>1441834443</v>
      </c>
      <c r="E139">
        <v>1</v>
      </c>
      <c r="F139">
        <v>1</v>
      </c>
      <c r="G139">
        <v>15514512</v>
      </c>
      <c r="H139">
        <v>3</v>
      </c>
      <c r="I139" t="s">
        <v>415</v>
      </c>
      <c r="J139" t="s">
        <v>416</v>
      </c>
      <c r="K139" t="s">
        <v>417</v>
      </c>
      <c r="L139">
        <v>1296</v>
      </c>
      <c r="N139">
        <v>1002</v>
      </c>
      <c r="O139" t="s">
        <v>418</v>
      </c>
      <c r="P139" t="s">
        <v>418</v>
      </c>
      <c r="Q139">
        <v>1</v>
      </c>
      <c r="X139">
        <v>0.31</v>
      </c>
      <c r="Y139">
        <v>785.72</v>
      </c>
      <c r="Z139">
        <v>0</v>
      </c>
      <c r="AA139">
        <v>0</v>
      </c>
      <c r="AB139">
        <v>0</v>
      </c>
      <c r="AC139">
        <v>0</v>
      </c>
      <c r="AD139">
        <v>1</v>
      </c>
      <c r="AE139">
        <v>0</v>
      </c>
      <c r="AF139" t="s">
        <v>3</v>
      </c>
      <c r="AG139">
        <v>0.31</v>
      </c>
      <c r="AH139">
        <v>3</v>
      </c>
      <c r="AI139">
        <v>-1</v>
      </c>
      <c r="AJ139" t="s">
        <v>3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</row>
    <row r="140" spans="1:44" x14ac:dyDescent="0.2">
      <c r="A140">
        <f>ROW(Source!A272)</f>
        <v>272</v>
      </c>
      <c r="B140">
        <v>1471739954</v>
      </c>
      <c r="C140">
        <v>1471663661</v>
      </c>
      <c r="D140">
        <v>1441821225</v>
      </c>
      <c r="E140">
        <v>15514512</v>
      </c>
      <c r="F140">
        <v>1</v>
      </c>
      <c r="G140">
        <v>15514512</v>
      </c>
      <c r="H140">
        <v>3</v>
      </c>
      <c r="I140" t="s">
        <v>419</v>
      </c>
      <c r="J140" t="s">
        <v>3</v>
      </c>
      <c r="K140" t="s">
        <v>420</v>
      </c>
      <c r="L140">
        <v>1346</v>
      </c>
      <c r="N140">
        <v>1009</v>
      </c>
      <c r="O140" t="s">
        <v>411</v>
      </c>
      <c r="P140" t="s">
        <v>411</v>
      </c>
      <c r="Q140">
        <v>1</v>
      </c>
      <c r="X140">
        <v>1.08</v>
      </c>
      <c r="Y140">
        <v>292.57515999999998</v>
      </c>
      <c r="Z140">
        <v>0</v>
      </c>
      <c r="AA140">
        <v>0</v>
      </c>
      <c r="AB140">
        <v>0</v>
      </c>
      <c r="AC140">
        <v>0</v>
      </c>
      <c r="AD140">
        <v>1</v>
      </c>
      <c r="AE140">
        <v>0</v>
      </c>
      <c r="AF140" t="s">
        <v>3</v>
      </c>
      <c r="AG140">
        <v>1.08</v>
      </c>
      <c r="AH140">
        <v>3</v>
      </c>
      <c r="AI140">
        <v>-1</v>
      </c>
      <c r="AJ140" t="s">
        <v>3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</row>
    <row r="141" spans="1:44" x14ac:dyDescent="0.2">
      <c r="A141">
        <f>ROW(Source!A272)</f>
        <v>272</v>
      </c>
      <c r="B141">
        <v>1471739952</v>
      </c>
      <c r="C141">
        <v>1471663661</v>
      </c>
      <c r="D141">
        <v>1441821223</v>
      </c>
      <c r="E141">
        <v>15514512</v>
      </c>
      <c r="F141">
        <v>1</v>
      </c>
      <c r="G141">
        <v>15514512</v>
      </c>
      <c r="H141">
        <v>3</v>
      </c>
      <c r="I141" t="s">
        <v>421</v>
      </c>
      <c r="J141" t="s">
        <v>3</v>
      </c>
      <c r="K141" t="s">
        <v>422</v>
      </c>
      <c r="L141">
        <v>1346</v>
      </c>
      <c r="N141">
        <v>1009</v>
      </c>
      <c r="O141" t="s">
        <v>411</v>
      </c>
      <c r="P141" t="s">
        <v>411</v>
      </c>
      <c r="Q141">
        <v>1</v>
      </c>
      <c r="X141">
        <v>0.98</v>
      </c>
      <c r="Y141">
        <v>221.4237</v>
      </c>
      <c r="Z141">
        <v>0</v>
      </c>
      <c r="AA141">
        <v>0</v>
      </c>
      <c r="AB141">
        <v>0</v>
      </c>
      <c r="AC141">
        <v>0</v>
      </c>
      <c r="AD141">
        <v>1</v>
      </c>
      <c r="AE141">
        <v>0</v>
      </c>
      <c r="AF141" t="s">
        <v>3</v>
      </c>
      <c r="AG141">
        <v>0.98</v>
      </c>
      <c r="AH141">
        <v>3</v>
      </c>
      <c r="AI141">
        <v>-1</v>
      </c>
      <c r="AJ141" t="s">
        <v>3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</row>
    <row r="142" spans="1:44" x14ac:dyDescent="0.2">
      <c r="A142">
        <f>ROW(Source!A273)</f>
        <v>273</v>
      </c>
      <c r="B142">
        <v>1471739955</v>
      </c>
      <c r="C142">
        <v>1471663677</v>
      </c>
      <c r="D142">
        <v>1441819193</v>
      </c>
      <c r="E142">
        <v>15514512</v>
      </c>
      <c r="F142">
        <v>1</v>
      </c>
      <c r="G142">
        <v>15514512</v>
      </c>
      <c r="H142">
        <v>1</v>
      </c>
      <c r="I142" t="s">
        <v>401</v>
      </c>
      <c r="J142" t="s">
        <v>3</v>
      </c>
      <c r="K142" t="s">
        <v>402</v>
      </c>
      <c r="L142">
        <v>1191</v>
      </c>
      <c r="N142">
        <v>1013</v>
      </c>
      <c r="O142" t="s">
        <v>403</v>
      </c>
      <c r="P142" t="s">
        <v>403</v>
      </c>
      <c r="Q142">
        <v>1</v>
      </c>
      <c r="X142">
        <v>26.7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1</v>
      </c>
      <c r="AE142">
        <v>1</v>
      </c>
      <c r="AF142" t="s">
        <v>3</v>
      </c>
      <c r="AG142">
        <v>26.7</v>
      </c>
      <c r="AH142">
        <v>3</v>
      </c>
      <c r="AI142">
        <v>-1</v>
      </c>
      <c r="AJ142" t="s">
        <v>3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</row>
    <row r="143" spans="1:44" x14ac:dyDescent="0.2">
      <c r="A143">
        <f>ROW(Source!A274)</f>
        <v>274</v>
      </c>
      <c r="B143">
        <v>1471739956</v>
      </c>
      <c r="C143">
        <v>1471663681</v>
      </c>
      <c r="D143">
        <v>1441819193</v>
      </c>
      <c r="E143">
        <v>15514512</v>
      </c>
      <c r="F143">
        <v>1</v>
      </c>
      <c r="G143">
        <v>15514512</v>
      </c>
      <c r="H143">
        <v>1</v>
      </c>
      <c r="I143" t="s">
        <v>401</v>
      </c>
      <c r="J143" t="s">
        <v>3</v>
      </c>
      <c r="K143" t="s">
        <v>402</v>
      </c>
      <c r="L143">
        <v>1191</v>
      </c>
      <c r="N143">
        <v>1013</v>
      </c>
      <c r="O143" t="s">
        <v>403</v>
      </c>
      <c r="P143" t="s">
        <v>403</v>
      </c>
      <c r="Q143">
        <v>1</v>
      </c>
      <c r="X143">
        <v>0.82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1</v>
      </c>
      <c r="AE143">
        <v>1</v>
      </c>
      <c r="AF143" t="s">
        <v>27</v>
      </c>
      <c r="AG143">
        <v>6.56</v>
      </c>
      <c r="AH143">
        <v>3</v>
      </c>
      <c r="AI143">
        <v>-1</v>
      </c>
      <c r="AJ143" t="s">
        <v>3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</row>
    <row r="144" spans="1:44" x14ac:dyDescent="0.2">
      <c r="A144">
        <f>ROW(Source!A275)</f>
        <v>275</v>
      </c>
      <c r="B144">
        <v>1471739960</v>
      </c>
      <c r="C144">
        <v>1471663685</v>
      </c>
      <c r="D144">
        <v>1441819193</v>
      </c>
      <c r="E144">
        <v>15514512</v>
      </c>
      <c r="F144">
        <v>1</v>
      </c>
      <c r="G144">
        <v>15514512</v>
      </c>
      <c r="H144">
        <v>1</v>
      </c>
      <c r="I144" t="s">
        <v>401</v>
      </c>
      <c r="J144" t="s">
        <v>3</v>
      </c>
      <c r="K144" t="s">
        <v>402</v>
      </c>
      <c r="L144">
        <v>1191</v>
      </c>
      <c r="N144">
        <v>1013</v>
      </c>
      <c r="O144" t="s">
        <v>403</v>
      </c>
      <c r="P144" t="s">
        <v>403</v>
      </c>
      <c r="Q144">
        <v>1</v>
      </c>
      <c r="X144">
        <v>0.37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1</v>
      </c>
      <c r="AE144">
        <v>1</v>
      </c>
      <c r="AF144" t="s">
        <v>3</v>
      </c>
      <c r="AG144">
        <v>0.37</v>
      </c>
      <c r="AH144">
        <v>3</v>
      </c>
      <c r="AI144">
        <v>-1</v>
      </c>
      <c r="AJ144" t="s">
        <v>3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</row>
    <row r="145" spans="1:44" x14ac:dyDescent="0.2">
      <c r="A145">
        <f>ROW(Source!A275)</f>
        <v>275</v>
      </c>
      <c r="B145">
        <v>1471739961</v>
      </c>
      <c r="C145">
        <v>1471663685</v>
      </c>
      <c r="D145">
        <v>1441834258</v>
      </c>
      <c r="E145">
        <v>1</v>
      </c>
      <c r="F145">
        <v>1</v>
      </c>
      <c r="G145">
        <v>15514512</v>
      </c>
      <c r="H145">
        <v>2</v>
      </c>
      <c r="I145" t="s">
        <v>404</v>
      </c>
      <c r="J145" t="s">
        <v>405</v>
      </c>
      <c r="K145" t="s">
        <v>406</v>
      </c>
      <c r="L145">
        <v>1368</v>
      </c>
      <c r="N145">
        <v>1011</v>
      </c>
      <c r="O145" t="s">
        <v>407</v>
      </c>
      <c r="P145" t="s">
        <v>407</v>
      </c>
      <c r="Q145">
        <v>1</v>
      </c>
      <c r="X145">
        <v>0.06</v>
      </c>
      <c r="Y145">
        <v>0</v>
      </c>
      <c r="Z145">
        <v>1303.01</v>
      </c>
      <c r="AA145">
        <v>826.2</v>
      </c>
      <c r="AB145">
        <v>0</v>
      </c>
      <c r="AC145">
        <v>0</v>
      </c>
      <c r="AD145">
        <v>1</v>
      </c>
      <c r="AE145">
        <v>0</v>
      </c>
      <c r="AF145" t="s">
        <v>3</v>
      </c>
      <c r="AG145">
        <v>0.06</v>
      </c>
      <c r="AH145">
        <v>3</v>
      </c>
      <c r="AI145">
        <v>-1</v>
      </c>
      <c r="AJ145" t="s">
        <v>3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</row>
    <row r="146" spans="1:44" x14ac:dyDescent="0.2">
      <c r="A146">
        <f>ROW(Source!A276)</f>
        <v>276</v>
      </c>
      <c r="B146">
        <v>1471740042</v>
      </c>
      <c r="C146">
        <v>1471663692</v>
      </c>
      <c r="D146">
        <v>1441819193</v>
      </c>
      <c r="E146">
        <v>15514512</v>
      </c>
      <c r="F146">
        <v>1</v>
      </c>
      <c r="G146">
        <v>15514512</v>
      </c>
      <c r="H146">
        <v>1</v>
      </c>
      <c r="I146" t="s">
        <v>401</v>
      </c>
      <c r="J146" t="s">
        <v>3</v>
      </c>
      <c r="K146" t="s">
        <v>402</v>
      </c>
      <c r="L146">
        <v>1191</v>
      </c>
      <c r="N146">
        <v>1013</v>
      </c>
      <c r="O146" t="s">
        <v>403</v>
      </c>
      <c r="P146" t="s">
        <v>403</v>
      </c>
      <c r="Q146">
        <v>1</v>
      </c>
      <c r="X146">
        <v>28.02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1</v>
      </c>
      <c r="AE146">
        <v>1</v>
      </c>
      <c r="AF146" t="s">
        <v>20</v>
      </c>
      <c r="AG146">
        <v>112.08</v>
      </c>
      <c r="AH146">
        <v>3</v>
      </c>
      <c r="AI146">
        <v>-1</v>
      </c>
      <c r="AJ146" t="s">
        <v>3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</row>
    <row r="147" spans="1:44" x14ac:dyDescent="0.2">
      <c r="A147">
        <f>ROW(Source!A276)</f>
        <v>276</v>
      </c>
      <c r="B147">
        <v>1471740043</v>
      </c>
      <c r="C147">
        <v>1471663692</v>
      </c>
      <c r="D147">
        <v>1441834443</v>
      </c>
      <c r="E147">
        <v>1</v>
      </c>
      <c r="F147">
        <v>1</v>
      </c>
      <c r="G147">
        <v>15514512</v>
      </c>
      <c r="H147">
        <v>3</v>
      </c>
      <c r="I147" t="s">
        <v>415</v>
      </c>
      <c r="J147" t="s">
        <v>416</v>
      </c>
      <c r="K147" t="s">
        <v>417</v>
      </c>
      <c r="L147">
        <v>1296</v>
      </c>
      <c r="N147">
        <v>1002</v>
      </c>
      <c r="O147" t="s">
        <v>418</v>
      </c>
      <c r="P147" t="s">
        <v>418</v>
      </c>
      <c r="Q147">
        <v>1</v>
      </c>
      <c r="X147">
        <v>0.31</v>
      </c>
      <c r="Y147">
        <v>785.72</v>
      </c>
      <c r="Z147">
        <v>0</v>
      </c>
      <c r="AA147">
        <v>0</v>
      </c>
      <c r="AB147">
        <v>0</v>
      </c>
      <c r="AC147">
        <v>0</v>
      </c>
      <c r="AD147">
        <v>1</v>
      </c>
      <c r="AE147">
        <v>0</v>
      </c>
      <c r="AF147" t="s">
        <v>20</v>
      </c>
      <c r="AG147">
        <v>1.24</v>
      </c>
      <c r="AH147">
        <v>3</v>
      </c>
      <c r="AI147">
        <v>-1</v>
      </c>
      <c r="AJ147" t="s">
        <v>3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</row>
    <row r="148" spans="1:44" x14ac:dyDescent="0.2">
      <c r="A148">
        <f>ROW(Source!A277)</f>
        <v>277</v>
      </c>
      <c r="B148">
        <v>1471740377</v>
      </c>
      <c r="C148">
        <v>1471663699</v>
      </c>
      <c r="D148">
        <v>1441819193</v>
      </c>
      <c r="E148">
        <v>15514512</v>
      </c>
      <c r="F148">
        <v>1</v>
      </c>
      <c r="G148">
        <v>15514512</v>
      </c>
      <c r="H148">
        <v>1</v>
      </c>
      <c r="I148" t="s">
        <v>401</v>
      </c>
      <c r="J148" t="s">
        <v>3</v>
      </c>
      <c r="K148" t="s">
        <v>402</v>
      </c>
      <c r="L148">
        <v>1191</v>
      </c>
      <c r="N148">
        <v>1013</v>
      </c>
      <c r="O148" t="s">
        <v>403</v>
      </c>
      <c r="P148" t="s">
        <v>403</v>
      </c>
      <c r="Q148">
        <v>1</v>
      </c>
      <c r="X148">
        <v>0.37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1</v>
      </c>
      <c r="AE148">
        <v>1</v>
      </c>
      <c r="AF148" t="s">
        <v>3</v>
      </c>
      <c r="AG148">
        <v>0.37</v>
      </c>
      <c r="AH148">
        <v>3</v>
      </c>
      <c r="AI148">
        <v>-1</v>
      </c>
      <c r="AJ148" t="s">
        <v>3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</row>
    <row r="149" spans="1:44" x14ac:dyDescent="0.2">
      <c r="A149">
        <f>ROW(Source!A277)</f>
        <v>277</v>
      </c>
      <c r="B149">
        <v>1471740383</v>
      </c>
      <c r="C149">
        <v>1471663699</v>
      </c>
      <c r="D149">
        <v>1441834258</v>
      </c>
      <c r="E149">
        <v>1</v>
      </c>
      <c r="F149">
        <v>1</v>
      </c>
      <c r="G149">
        <v>15514512</v>
      </c>
      <c r="H149">
        <v>2</v>
      </c>
      <c r="I149" t="s">
        <v>404</v>
      </c>
      <c r="J149" t="s">
        <v>405</v>
      </c>
      <c r="K149" t="s">
        <v>406</v>
      </c>
      <c r="L149">
        <v>1368</v>
      </c>
      <c r="N149">
        <v>1011</v>
      </c>
      <c r="O149" t="s">
        <v>407</v>
      </c>
      <c r="P149" t="s">
        <v>407</v>
      </c>
      <c r="Q149">
        <v>1</v>
      </c>
      <c r="X149">
        <v>0.06</v>
      </c>
      <c r="Y149">
        <v>0</v>
      </c>
      <c r="Z149">
        <v>1303.01</v>
      </c>
      <c r="AA149">
        <v>826.2</v>
      </c>
      <c r="AB149">
        <v>0</v>
      </c>
      <c r="AC149">
        <v>0</v>
      </c>
      <c r="AD149">
        <v>1</v>
      </c>
      <c r="AE149">
        <v>0</v>
      </c>
      <c r="AF149" t="s">
        <v>3</v>
      </c>
      <c r="AG149">
        <v>0.06</v>
      </c>
      <c r="AH149">
        <v>3</v>
      </c>
      <c r="AI149">
        <v>-1</v>
      </c>
      <c r="AJ149" t="s">
        <v>3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</row>
    <row r="150" spans="1:44" x14ac:dyDescent="0.2">
      <c r="A150">
        <f>ROW(Source!A278)</f>
        <v>278</v>
      </c>
      <c r="B150">
        <v>1471740629</v>
      </c>
      <c r="C150">
        <v>1471663706</v>
      </c>
      <c r="D150">
        <v>1441819193</v>
      </c>
      <c r="E150">
        <v>15514512</v>
      </c>
      <c r="F150">
        <v>1</v>
      </c>
      <c r="G150">
        <v>15514512</v>
      </c>
      <c r="H150">
        <v>1</v>
      </c>
      <c r="I150" t="s">
        <v>401</v>
      </c>
      <c r="J150" t="s">
        <v>3</v>
      </c>
      <c r="K150" t="s">
        <v>402</v>
      </c>
      <c r="L150">
        <v>1191</v>
      </c>
      <c r="N150">
        <v>1013</v>
      </c>
      <c r="O150" t="s">
        <v>403</v>
      </c>
      <c r="P150" t="s">
        <v>403</v>
      </c>
      <c r="Q150">
        <v>1</v>
      </c>
      <c r="X150">
        <v>28.02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1</v>
      </c>
      <c r="AE150">
        <v>1</v>
      </c>
      <c r="AF150" t="s">
        <v>20</v>
      </c>
      <c r="AG150">
        <v>112.08</v>
      </c>
      <c r="AH150">
        <v>3</v>
      </c>
      <c r="AI150">
        <v>-1</v>
      </c>
      <c r="AJ150" t="s">
        <v>3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</row>
    <row r="151" spans="1:44" x14ac:dyDescent="0.2">
      <c r="A151">
        <f>ROW(Source!A278)</f>
        <v>278</v>
      </c>
      <c r="B151">
        <v>1471740631</v>
      </c>
      <c r="C151">
        <v>1471663706</v>
      </c>
      <c r="D151">
        <v>1441834443</v>
      </c>
      <c r="E151">
        <v>1</v>
      </c>
      <c r="F151">
        <v>1</v>
      </c>
      <c r="G151">
        <v>15514512</v>
      </c>
      <c r="H151">
        <v>3</v>
      </c>
      <c r="I151" t="s">
        <v>415</v>
      </c>
      <c r="J151" t="s">
        <v>416</v>
      </c>
      <c r="K151" t="s">
        <v>417</v>
      </c>
      <c r="L151">
        <v>1296</v>
      </c>
      <c r="N151">
        <v>1002</v>
      </c>
      <c r="O151" t="s">
        <v>418</v>
      </c>
      <c r="P151" t="s">
        <v>418</v>
      </c>
      <c r="Q151">
        <v>1</v>
      </c>
      <c r="X151">
        <v>0.31</v>
      </c>
      <c r="Y151">
        <v>785.72</v>
      </c>
      <c r="Z151">
        <v>0</v>
      </c>
      <c r="AA151">
        <v>0</v>
      </c>
      <c r="AB151">
        <v>0</v>
      </c>
      <c r="AC151">
        <v>0</v>
      </c>
      <c r="AD151">
        <v>1</v>
      </c>
      <c r="AE151">
        <v>0</v>
      </c>
      <c r="AF151" t="s">
        <v>20</v>
      </c>
      <c r="AG151">
        <v>1.24</v>
      </c>
      <c r="AH151">
        <v>3</v>
      </c>
      <c r="AI151">
        <v>-1</v>
      </c>
      <c r="AJ151" t="s">
        <v>3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</row>
    <row r="152" spans="1:44" x14ac:dyDescent="0.2">
      <c r="A152">
        <f>ROW(Source!A279)</f>
        <v>279</v>
      </c>
      <c r="B152">
        <v>1471740652</v>
      </c>
      <c r="C152">
        <v>1471663713</v>
      </c>
      <c r="D152">
        <v>1441819193</v>
      </c>
      <c r="E152">
        <v>15514512</v>
      </c>
      <c r="F152">
        <v>1</v>
      </c>
      <c r="G152">
        <v>15514512</v>
      </c>
      <c r="H152">
        <v>1</v>
      </c>
      <c r="I152" t="s">
        <v>401</v>
      </c>
      <c r="J152" t="s">
        <v>3</v>
      </c>
      <c r="K152" t="s">
        <v>402</v>
      </c>
      <c r="L152">
        <v>1191</v>
      </c>
      <c r="N152">
        <v>1013</v>
      </c>
      <c r="O152" t="s">
        <v>403</v>
      </c>
      <c r="P152" t="s">
        <v>403</v>
      </c>
      <c r="Q152">
        <v>1</v>
      </c>
      <c r="X152">
        <v>0.23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1</v>
      </c>
      <c r="AE152">
        <v>1</v>
      </c>
      <c r="AF152" t="s">
        <v>46</v>
      </c>
      <c r="AG152">
        <v>3.91</v>
      </c>
      <c r="AH152">
        <v>3</v>
      </c>
      <c r="AI152">
        <v>-1</v>
      </c>
      <c r="AJ152" t="s">
        <v>3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</row>
    <row r="153" spans="1:44" x14ac:dyDescent="0.2">
      <c r="A153">
        <f>ROW(Source!A280)</f>
        <v>280</v>
      </c>
      <c r="B153">
        <v>1471740667</v>
      </c>
      <c r="C153">
        <v>1471663717</v>
      </c>
      <c r="D153">
        <v>1441819193</v>
      </c>
      <c r="E153">
        <v>15514512</v>
      </c>
      <c r="F153">
        <v>1</v>
      </c>
      <c r="G153">
        <v>15514512</v>
      </c>
      <c r="H153">
        <v>1</v>
      </c>
      <c r="I153" t="s">
        <v>401</v>
      </c>
      <c r="J153" t="s">
        <v>3</v>
      </c>
      <c r="K153" t="s">
        <v>402</v>
      </c>
      <c r="L153">
        <v>1191</v>
      </c>
      <c r="N153">
        <v>1013</v>
      </c>
      <c r="O153" t="s">
        <v>403</v>
      </c>
      <c r="P153" t="s">
        <v>403</v>
      </c>
      <c r="Q153">
        <v>1</v>
      </c>
      <c r="X153">
        <v>0.37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1</v>
      </c>
      <c r="AE153">
        <v>1</v>
      </c>
      <c r="AF153" t="s">
        <v>3</v>
      </c>
      <c r="AG153">
        <v>0.37</v>
      </c>
      <c r="AH153">
        <v>3</v>
      </c>
      <c r="AI153">
        <v>-1</v>
      </c>
      <c r="AJ153" t="s">
        <v>3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</row>
    <row r="154" spans="1:44" x14ac:dyDescent="0.2">
      <c r="A154">
        <f>ROW(Source!A280)</f>
        <v>280</v>
      </c>
      <c r="B154">
        <v>1471740668</v>
      </c>
      <c r="C154">
        <v>1471663717</v>
      </c>
      <c r="D154">
        <v>1441834258</v>
      </c>
      <c r="E154">
        <v>1</v>
      </c>
      <c r="F154">
        <v>1</v>
      </c>
      <c r="G154">
        <v>15514512</v>
      </c>
      <c r="H154">
        <v>2</v>
      </c>
      <c r="I154" t="s">
        <v>404</v>
      </c>
      <c r="J154" t="s">
        <v>405</v>
      </c>
      <c r="K154" t="s">
        <v>406</v>
      </c>
      <c r="L154">
        <v>1368</v>
      </c>
      <c r="N154">
        <v>1011</v>
      </c>
      <c r="O154" t="s">
        <v>407</v>
      </c>
      <c r="P154" t="s">
        <v>407</v>
      </c>
      <c r="Q154">
        <v>1</v>
      </c>
      <c r="X154">
        <v>0.06</v>
      </c>
      <c r="Y154">
        <v>0</v>
      </c>
      <c r="Z154">
        <v>1303.01</v>
      </c>
      <c r="AA154">
        <v>826.2</v>
      </c>
      <c r="AB154">
        <v>0</v>
      </c>
      <c r="AC154">
        <v>0</v>
      </c>
      <c r="AD154">
        <v>1</v>
      </c>
      <c r="AE154">
        <v>0</v>
      </c>
      <c r="AF154" t="s">
        <v>3</v>
      </c>
      <c r="AG154">
        <v>0.06</v>
      </c>
      <c r="AH154">
        <v>3</v>
      </c>
      <c r="AI154">
        <v>-1</v>
      </c>
      <c r="AJ154" t="s">
        <v>3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</row>
    <row r="155" spans="1:44" x14ac:dyDescent="0.2">
      <c r="A155">
        <f>ROW(Source!A281)</f>
        <v>281</v>
      </c>
      <c r="B155">
        <v>1471740688</v>
      </c>
      <c r="C155">
        <v>1471663724</v>
      </c>
      <c r="D155">
        <v>1441819193</v>
      </c>
      <c r="E155">
        <v>15514512</v>
      </c>
      <c r="F155">
        <v>1</v>
      </c>
      <c r="G155">
        <v>15514512</v>
      </c>
      <c r="H155">
        <v>1</v>
      </c>
      <c r="I155" t="s">
        <v>401</v>
      </c>
      <c r="J155" t="s">
        <v>3</v>
      </c>
      <c r="K155" t="s">
        <v>402</v>
      </c>
      <c r="L155">
        <v>1191</v>
      </c>
      <c r="N155">
        <v>1013</v>
      </c>
      <c r="O155" t="s">
        <v>403</v>
      </c>
      <c r="P155" t="s">
        <v>403</v>
      </c>
      <c r="Q155">
        <v>1</v>
      </c>
      <c r="X155">
        <v>0.13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1</v>
      </c>
      <c r="AE155">
        <v>1</v>
      </c>
      <c r="AF155" t="s">
        <v>20</v>
      </c>
      <c r="AG155">
        <v>0.52</v>
      </c>
      <c r="AH155">
        <v>3</v>
      </c>
      <c r="AI155">
        <v>-1</v>
      </c>
      <c r="AJ155" t="s">
        <v>3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</row>
    <row r="156" spans="1:44" x14ac:dyDescent="0.2">
      <c r="A156">
        <f>ROW(Source!A282)</f>
        <v>282</v>
      </c>
      <c r="B156">
        <v>1471740700</v>
      </c>
      <c r="C156">
        <v>1471663728</v>
      </c>
      <c r="D156">
        <v>1441819193</v>
      </c>
      <c r="E156">
        <v>15514512</v>
      </c>
      <c r="F156">
        <v>1</v>
      </c>
      <c r="G156">
        <v>15514512</v>
      </c>
      <c r="H156">
        <v>1</v>
      </c>
      <c r="I156" t="s">
        <v>401</v>
      </c>
      <c r="J156" t="s">
        <v>3</v>
      </c>
      <c r="K156" t="s">
        <v>402</v>
      </c>
      <c r="L156">
        <v>1191</v>
      </c>
      <c r="N156">
        <v>1013</v>
      </c>
      <c r="O156" t="s">
        <v>403</v>
      </c>
      <c r="P156" t="s">
        <v>403</v>
      </c>
      <c r="Q156">
        <v>1</v>
      </c>
      <c r="X156">
        <v>0.9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1</v>
      </c>
      <c r="AE156">
        <v>1</v>
      </c>
      <c r="AF156" t="s">
        <v>20</v>
      </c>
      <c r="AG156">
        <v>3.6</v>
      </c>
      <c r="AH156">
        <v>3</v>
      </c>
      <c r="AI156">
        <v>-1</v>
      </c>
      <c r="AJ156" t="s">
        <v>3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</row>
    <row r="157" spans="1:44" x14ac:dyDescent="0.2">
      <c r="A157">
        <f>ROW(Source!A283)</f>
        <v>283</v>
      </c>
      <c r="B157">
        <v>1471740714</v>
      </c>
      <c r="C157">
        <v>1471663732</v>
      </c>
      <c r="D157">
        <v>1441819193</v>
      </c>
      <c r="E157">
        <v>15514512</v>
      </c>
      <c r="F157">
        <v>1</v>
      </c>
      <c r="G157">
        <v>15514512</v>
      </c>
      <c r="H157">
        <v>1</v>
      </c>
      <c r="I157" t="s">
        <v>401</v>
      </c>
      <c r="J157" t="s">
        <v>3</v>
      </c>
      <c r="K157" t="s">
        <v>402</v>
      </c>
      <c r="L157">
        <v>1191</v>
      </c>
      <c r="N157">
        <v>1013</v>
      </c>
      <c r="O157" t="s">
        <v>403</v>
      </c>
      <c r="P157" t="s">
        <v>403</v>
      </c>
      <c r="Q157">
        <v>1</v>
      </c>
      <c r="X157">
        <v>4.84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1</v>
      </c>
      <c r="AE157">
        <v>1</v>
      </c>
      <c r="AF157" t="s">
        <v>20</v>
      </c>
      <c r="AG157">
        <v>19.36</v>
      </c>
      <c r="AH157">
        <v>3</v>
      </c>
      <c r="AI157">
        <v>-1</v>
      </c>
      <c r="AJ157" t="s">
        <v>3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</row>
    <row r="158" spans="1:44" x14ac:dyDescent="0.2">
      <c r="A158">
        <f>ROW(Source!A284)</f>
        <v>284</v>
      </c>
      <c r="B158">
        <v>1471740729</v>
      </c>
      <c r="C158">
        <v>1471663736</v>
      </c>
      <c r="D158">
        <v>1441819193</v>
      </c>
      <c r="E158">
        <v>15514512</v>
      </c>
      <c r="F158">
        <v>1</v>
      </c>
      <c r="G158">
        <v>15514512</v>
      </c>
      <c r="H158">
        <v>1</v>
      </c>
      <c r="I158" t="s">
        <v>401</v>
      </c>
      <c r="J158" t="s">
        <v>3</v>
      </c>
      <c r="K158" t="s">
        <v>402</v>
      </c>
      <c r="L158">
        <v>1191</v>
      </c>
      <c r="N158">
        <v>1013</v>
      </c>
      <c r="O158" t="s">
        <v>403</v>
      </c>
      <c r="P158" t="s">
        <v>403</v>
      </c>
      <c r="Q158">
        <v>1</v>
      </c>
      <c r="X158">
        <v>29.54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1</v>
      </c>
      <c r="AE158">
        <v>1</v>
      </c>
      <c r="AF158" t="s">
        <v>3</v>
      </c>
      <c r="AG158">
        <v>29.54</v>
      </c>
      <c r="AH158">
        <v>3</v>
      </c>
      <c r="AI158">
        <v>-1</v>
      </c>
      <c r="AJ158" t="s">
        <v>3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</row>
    <row r="159" spans="1:44" x14ac:dyDescent="0.2">
      <c r="A159">
        <f>ROW(Source!A284)</f>
        <v>284</v>
      </c>
      <c r="B159">
        <v>1471740730</v>
      </c>
      <c r="C159">
        <v>1471663736</v>
      </c>
      <c r="D159">
        <v>1441835469</v>
      </c>
      <c r="E159">
        <v>1</v>
      </c>
      <c r="F159">
        <v>1</v>
      </c>
      <c r="G159">
        <v>15514512</v>
      </c>
      <c r="H159">
        <v>3</v>
      </c>
      <c r="I159" t="s">
        <v>423</v>
      </c>
      <c r="J159" t="s">
        <v>424</v>
      </c>
      <c r="K159" t="s">
        <v>425</v>
      </c>
      <c r="L159">
        <v>1348</v>
      </c>
      <c r="N159">
        <v>1009</v>
      </c>
      <c r="O159" t="s">
        <v>426</v>
      </c>
      <c r="P159" t="s">
        <v>426</v>
      </c>
      <c r="Q159">
        <v>1000</v>
      </c>
      <c r="X159">
        <v>5.0000000000000001E-3</v>
      </c>
      <c r="Y159">
        <v>163237.26999999999</v>
      </c>
      <c r="Z159">
        <v>0</v>
      </c>
      <c r="AA159">
        <v>0</v>
      </c>
      <c r="AB159">
        <v>0</v>
      </c>
      <c r="AC159">
        <v>0</v>
      </c>
      <c r="AD159">
        <v>1</v>
      </c>
      <c r="AE159">
        <v>0</v>
      </c>
      <c r="AF159" t="s">
        <v>3</v>
      </c>
      <c r="AG159">
        <v>5.0000000000000001E-3</v>
      </c>
      <c r="AH159">
        <v>3</v>
      </c>
      <c r="AI159">
        <v>-1</v>
      </c>
      <c r="AJ159" t="s">
        <v>3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</row>
    <row r="160" spans="1:44" x14ac:dyDescent="0.2">
      <c r="A160">
        <f>ROW(Source!A284)</f>
        <v>284</v>
      </c>
      <c r="B160">
        <v>1471740731</v>
      </c>
      <c r="C160">
        <v>1471663736</v>
      </c>
      <c r="D160">
        <v>1441836514</v>
      </c>
      <c r="E160">
        <v>1</v>
      </c>
      <c r="F160">
        <v>1</v>
      </c>
      <c r="G160">
        <v>15514512</v>
      </c>
      <c r="H160">
        <v>3</v>
      </c>
      <c r="I160" t="s">
        <v>427</v>
      </c>
      <c r="J160" t="s">
        <v>428</v>
      </c>
      <c r="K160" t="s">
        <v>429</v>
      </c>
      <c r="L160">
        <v>1339</v>
      </c>
      <c r="N160">
        <v>1007</v>
      </c>
      <c r="O160" t="s">
        <v>430</v>
      </c>
      <c r="P160" t="s">
        <v>430</v>
      </c>
      <c r="Q160">
        <v>1</v>
      </c>
      <c r="X160">
        <v>7.8</v>
      </c>
      <c r="Y160">
        <v>54.81</v>
      </c>
      <c r="Z160">
        <v>0</v>
      </c>
      <c r="AA160">
        <v>0</v>
      </c>
      <c r="AB160">
        <v>0</v>
      </c>
      <c r="AC160">
        <v>0</v>
      </c>
      <c r="AD160">
        <v>1</v>
      </c>
      <c r="AE160">
        <v>0</v>
      </c>
      <c r="AF160" t="s">
        <v>3</v>
      </c>
      <c r="AG160">
        <v>7.8</v>
      </c>
      <c r="AH160">
        <v>3</v>
      </c>
      <c r="AI160">
        <v>-1</v>
      </c>
      <c r="AJ160" t="s">
        <v>3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</row>
    <row r="161" spans="1:44" x14ac:dyDescent="0.2">
      <c r="A161">
        <f>ROW(Source!A284)</f>
        <v>284</v>
      </c>
      <c r="B161">
        <v>1471740732</v>
      </c>
      <c r="C161">
        <v>1471663736</v>
      </c>
      <c r="D161">
        <v>1441847238</v>
      </c>
      <c r="E161">
        <v>1</v>
      </c>
      <c r="F161">
        <v>1</v>
      </c>
      <c r="G161">
        <v>15514512</v>
      </c>
      <c r="H161">
        <v>3</v>
      </c>
      <c r="I161" t="s">
        <v>431</v>
      </c>
      <c r="J161" t="s">
        <v>432</v>
      </c>
      <c r="K161" t="s">
        <v>433</v>
      </c>
      <c r="L161">
        <v>1346</v>
      </c>
      <c r="N161">
        <v>1009</v>
      </c>
      <c r="O161" t="s">
        <v>411</v>
      </c>
      <c r="P161" t="s">
        <v>411</v>
      </c>
      <c r="Q161">
        <v>1</v>
      </c>
      <c r="X161">
        <v>2</v>
      </c>
      <c r="Y161">
        <v>742.26</v>
      </c>
      <c r="Z161">
        <v>0</v>
      </c>
      <c r="AA161">
        <v>0</v>
      </c>
      <c r="AB161">
        <v>0</v>
      </c>
      <c r="AC161">
        <v>0</v>
      </c>
      <c r="AD161">
        <v>1</v>
      </c>
      <c r="AE161">
        <v>0</v>
      </c>
      <c r="AF161" t="s">
        <v>3</v>
      </c>
      <c r="AG161">
        <v>2</v>
      </c>
      <c r="AH161">
        <v>3</v>
      </c>
      <c r="AI161">
        <v>-1</v>
      </c>
      <c r="AJ161" t="s">
        <v>3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</row>
    <row r="162" spans="1:44" x14ac:dyDescent="0.2">
      <c r="A162">
        <f>ROW(Source!A285)</f>
        <v>285</v>
      </c>
      <c r="B162">
        <v>1471740808</v>
      </c>
      <c r="C162">
        <v>1471663749</v>
      </c>
      <c r="D162">
        <v>1441819193</v>
      </c>
      <c r="E162">
        <v>15514512</v>
      </c>
      <c r="F162">
        <v>1</v>
      </c>
      <c r="G162">
        <v>15514512</v>
      </c>
      <c r="H162">
        <v>1</v>
      </c>
      <c r="I162" t="s">
        <v>401</v>
      </c>
      <c r="J162" t="s">
        <v>3</v>
      </c>
      <c r="K162" t="s">
        <v>402</v>
      </c>
      <c r="L162">
        <v>1191</v>
      </c>
      <c r="N162">
        <v>1013</v>
      </c>
      <c r="O162" t="s">
        <v>403</v>
      </c>
      <c r="P162" t="s">
        <v>403</v>
      </c>
      <c r="Q162">
        <v>1</v>
      </c>
      <c r="X162">
        <v>2.04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1</v>
      </c>
      <c r="AE162">
        <v>1</v>
      </c>
      <c r="AF162" t="s">
        <v>42</v>
      </c>
      <c r="AG162">
        <v>4.08</v>
      </c>
      <c r="AH162">
        <v>3</v>
      </c>
      <c r="AI162">
        <v>-1</v>
      </c>
      <c r="AJ162" t="s">
        <v>3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</row>
    <row r="163" spans="1:44" x14ac:dyDescent="0.2">
      <c r="A163">
        <f>ROW(Source!A286)</f>
        <v>286</v>
      </c>
      <c r="B163">
        <v>1471740827</v>
      </c>
      <c r="C163">
        <v>1471663753</v>
      </c>
      <c r="D163">
        <v>1441819193</v>
      </c>
      <c r="E163">
        <v>15514512</v>
      </c>
      <c r="F163">
        <v>1</v>
      </c>
      <c r="G163">
        <v>15514512</v>
      </c>
      <c r="H163">
        <v>1</v>
      </c>
      <c r="I163" t="s">
        <v>401</v>
      </c>
      <c r="J163" t="s">
        <v>3</v>
      </c>
      <c r="K163" t="s">
        <v>402</v>
      </c>
      <c r="L163">
        <v>1191</v>
      </c>
      <c r="N163">
        <v>1013</v>
      </c>
      <c r="O163" t="s">
        <v>403</v>
      </c>
      <c r="P163" t="s">
        <v>403</v>
      </c>
      <c r="Q163">
        <v>1</v>
      </c>
      <c r="X163">
        <v>0.37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1</v>
      </c>
      <c r="AE163">
        <v>1</v>
      </c>
      <c r="AF163" t="s">
        <v>42</v>
      </c>
      <c r="AG163">
        <v>0.74</v>
      </c>
      <c r="AH163">
        <v>3</v>
      </c>
      <c r="AI163">
        <v>-1</v>
      </c>
      <c r="AJ163" t="s">
        <v>3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</row>
    <row r="164" spans="1:44" x14ac:dyDescent="0.2">
      <c r="A164">
        <f>ROW(Source!A286)</f>
        <v>286</v>
      </c>
      <c r="B164">
        <v>1471740828</v>
      </c>
      <c r="C164">
        <v>1471663753</v>
      </c>
      <c r="D164">
        <v>1441834258</v>
      </c>
      <c r="E164">
        <v>1</v>
      </c>
      <c r="F164">
        <v>1</v>
      </c>
      <c r="G164">
        <v>15514512</v>
      </c>
      <c r="H164">
        <v>2</v>
      </c>
      <c r="I164" t="s">
        <v>404</v>
      </c>
      <c r="J164" t="s">
        <v>405</v>
      </c>
      <c r="K164" t="s">
        <v>406</v>
      </c>
      <c r="L164">
        <v>1368</v>
      </c>
      <c r="N164">
        <v>1011</v>
      </c>
      <c r="O164" t="s">
        <v>407</v>
      </c>
      <c r="P164" t="s">
        <v>407</v>
      </c>
      <c r="Q164">
        <v>1</v>
      </c>
      <c r="X164">
        <v>0.06</v>
      </c>
      <c r="Y164">
        <v>0</v>
      </c>
      <c r="Z164">
        <v>1303.01</v>
      </c>
      <c r="AA164">
        <v>826.2</v>
      </c>
      <c r="AB164">
        <v>0</v>
      </c>
      <c r="AC164">
        <v>0</v>
      </c>
      <c r="AD164">
        <v>1</v>
      </c>
      <c r="AE164">
        <v>0</v>
      </c>
      <c r="AF164" t="s">
        <v>42</v>
      </c>
      <c r="AG164">
        <v>0.12</v>
      </c>
      <c r="AH164">
        <v>3</v>
      </c>
      <c r="AI164">
        <v>-1</v>
      </c>
      <c r="AJ164" t="s">
        <v>3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</row>
    <row r="165" spans="1:44" x14ac:dyDescent="0.2">
      <c r="A165">
        <f>ROW(Source!A287)</f>
        <v>287</v>
      </c>
      <c r="B165">
        <v>1471740853</v>
      </c>
      <c r="C165">
        <v>1471663760</v>
      </c>
      <c r="D165">
        <v>1441819193</v>
      </c>
      <c r="E165">
        <v>15514512</v>
      </c>
      <c r="F165">
        <v>1</v>
      </c>
      <c r="G165">
        <v>15514512</v>
      </c>
      <c r="H165">
        <v>1</v>
      </c>
      <c r="I165" t="s">
        <v>401</v>
      </c>
      <c r="J165" t="s">
        <v>3</v>
      </c>
      <c r="K165" t="s">
        <v>402</v>
      </c>
      <c r="L165">
        <v>1191</v>
      </c>
      <c r="N165">
        <v>1013</v>
      </c>
      <c r="O165" t="s">
        <v>403</v>
      </c>
      <c r="P165" t="s">
        <v>403</v>
      </c>
      <c r="Q165">
        <v>1</v>
      </c>
      <c r="X165">
        <v>0.45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1</v>
      </c>
      <c r="AE165">
        <v>1</v>
      </c>
      <c r="AF165" t="s">
        <v>3</v>
      </c>
      <c r="AG165">
        <v>0.45</v>
      </c>
      <c r="AH165">
        <v>3</v>
      </c>
      <c r="AI165">
        <v>-1</v>
      </c>
      <c r="AJ165" t="s">
        <v>3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</row>
    <row r="166" spans="1:44" x14ac:dyDescent="0.2">
      <c r="A166">
        <f>ROW(Source!A288)</f>
        <v>288</v>
      </c>
      <c r="B166">
        <v>1471740971</v>
      </c>
      <c r="C166">
        <v>1471663764</v>
      </c>
      <c r="D166">
        <v>1441819193</v>
      </c>
      <c r="E166">
        <v>15514512</v>
      </c>
      <c r="F166">
        <v>1</v>
      </c>
      <c r="G166">
        <v>15514512</v>
      </c>
      <c r="H166">
        <v>1</v>
      </c>
      <c r="I166" t="s">
        <v>401</v>
      </c>
      <c r="J166" t="s">
        <v>3</v>
      </c>
      <c r="K166" t="s">
        <v>402</v>
      </c>
      <c r="L166">
        <v>1191</v>
      </c>
      <c r="N166">
        <v>1013</v>
      </c>
      <c r="O166" t="s">
        <v>403</v>
      </c>
      <c r="P166" t="s">
        <v>403</v>
      </c>
      <c r="Q166">
        <v>1</v>
      </c>
      <c r="X166">
        <v>1.75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1</v>
      </c>
      <c r="AE166">
        <v>1</v>
      </c>
      <c r="AF166" t="s">
        <v>3</v>
      </c>
      <c r="AG166">
        <v>1.75</v>
      </c>
      <c r="AH166">
        <v>3</v>
      </c>
      <c r="AI166">
        <v>-1</v>
      </c>
      <c r="AJ166" t="s">
        <v>3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</row>
    <row r="167" spans="1:44" x14ac:dyDescent="0.2">
      <c r="A167">
        <f>ROW(Source!A288)</f>
        <v>288</v>
      </c>
      <c r="B167">
        <v>1471740972</v>
      </c>
      <c r="C167">
        <v>1471663764</v>
      </c>
      <c r="D167">
        <v>1441834258</v>
      </c>
      <c r="E167">
        <v>1</v>
      </c>
      <c r="F167">
        <v>1</v>
      </c>
      <c r="G167">
        <v>15514512</v>
      </c>
      <c r="H167">
        <v>2</v>
      </c>
      <c r="I167" t="s">
        <v>404</v>
      </c>
      <c r="J167" t="s">
        <v>405</v>
      </c>
      <c r="K167" t="s">
        <v>406</v>
      </c>
      <c r="L167">
        <v>1368</v>
      </c>
      <c r="N167">
        <v>1011</v>
      </c>
      <c r="O167" t="s">
        <v>407</v>
      </c>
      <c r="P167" t="s">
        <v>407</v>
      </c>
      <c r="Q167">
        <v>1</v>
      </c>
      <c r="X167">
        <v>1.083</v>
      </c>
      <c r="Y167">
        <v>0</v>
      </c>
      <c r="Z167">
        <v>1303.01</v>
      </c>
      <c r="AA167">
        <v>826.2</v>
      </c>
      <c r="AB167">
        <v>0</v>
      </c>
      <c r="AC167">
        <v>0</v>
      </c>
      <c r="AD167">
        <v>1</v>
      </c>
      <c r="AE167">
        <v>0</v>
      </c>
      <c r="AF167" t="s">
        <v>3</v>
      </c>
      <c r="AG167">
        <v>1.083</v>
      </c>
      <c r="AH167">
        <v>3</v>
      </c>
      <c r="AI167">
        <v>-1</v>
      </c>
      <c r="AJ167" t="s">
        <v>3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</row>
    <row r="168" spans="1:44" x14ac:dyDescent="0.2">
      <c r="A168">
        <f>ROW(Source!A288)</f>
        <v>288</v>
      </c>
      <c r="B168">
        <v>1471740973</v>
      </c>
      <c r="C168">
        <v>1471663764</v>
      </c>
      <c r="D168">
        <v>1441836235</v>
      </c>
      <c r="E168">
        <v>1</v>
      </c>
      <c r="F168">
        <v>1</v>
      </c>
      <c r="G168">
        <v>15514512</v>
      </c>
      <c r="H168">
        <v>3</v>
      </c>
      <c r="I168" t="s">
        <v>408</v>
      </c>
      <c r="J168" t="s">
        <v>409</v>
      </c>
      <c r="K168" t="s">
        <v>410</v>
      </c>
      <c r="L168">
        <v>1346</v>
      </c>
      <c r="N168">
        <v>1009</v>
      </c>
      <c r="O168" t="s">
        <v>411</v>
      </c>
      <c r="P168" t="s">
        <v>411</v>
      </c>
      <c r="Q168">
        <v>1</v>
      </c>
      <c r="X168">
        <v>0.02</v>
      </c>
      <c r="Y168">
        <v>31.49</v>
      </c>
      <c r="Z168">
        <v>0</v>
      </c>
      <c r="AA168">
        <v>0</v>
      </c>
      <c r="AB168">
        <v>0</v>
      </c>
      <c r="AC168">
        <v>0</v>
      </c>
      <c r="AD168">
        <v>1</v>
      </c>
      <c r="AE168">
        <v>0</v>
      </c>
      <c r="AF168" t="s">
        <v>3</v>
      </c>
      <c r="AG168">
        <v>0.02</v>
      </c>
      <c r="AH168">
        <v>3</v>
      </c>
      <c r="AI168">
        <v>-1</v>
      </c>
      <c r="AJ168" t="s">
        <v>3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</row>
    <row r="169" spans="1:44" x14ac:dyDescent="0.2">
      <c r="A169">
        <f>ROW(Source!A289)</f>
        <v>289</v>
      </c>
      <c r="B169">
        <v>1471741177</v>
      </c>
      <c r="C169">
        <v>1471663774</v>
      </c>
      <c r="D169">
        <v>1441819193</v>
      </c>
      <c r="E169">
        <v>15514512</v>
      </c>
      <c r="F169">
        <v>1</v>
      </c>
      <c r="G169">
        <v>15514512</v>
      </c>
      <c r="H169">
        <v>1</v>
      </c>
      <c r="I169" t="s">
        <v>401</v>
      </c>
      <c r="J169" t="s">
        <v>3</v>
      </c>
      <c r="K169" t="s">
        <v>402</v>
      </c>
      <c r="L169">
        <v>1191</v>
      </c>
      <c r="N169">
        <v>1013</v>
      </c>
      <c r="O169" t="s">
        <v>403</v>
      </c>
      <c r="P169" t="s">
        <v>403</v>
      </c>
      <c r="Q169">
        <v>1</v>
      </c>
      <c r="X169">
        <v>13.9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1</v>
      </c>
      <c r="AE169">
        <v>1</v>
      </c>
      <c r="AF169" t="s">
        <v>311</v>
      </c>
      <c r="AG169">
        <v>3405.5</v>
      </c>
      <c r="AH169">
        <v>3</v>
      </c>
      <c r="AI169">
        <v>-1</v>
      </c>
      <c r="AJ169" t="s">
        <v>3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</row>
    <row r="170" spans="1:44" x14ac:dyDescent="0.2">
      <c r="A170">
        <f>ROW(Source!A289)</f>
        <v>289</v>
      </c>
      <c r="B170">
        <v>1471741178</v>
      </c>
      <c r="C170">
        <v>1471663774</v>
      </c>
      <c r="D170">
        <v>1441836372</v>
      </c>
      <c r="E170">
        <v>1</v>
      </c>
      <c r="F170">
        <v>1</v>
      </c>
      <c r="G170">
        <v>15514512</v>
      </c>
      <c r="H170">
        <v>3</v>
      </c>
      <c r="I170" t="s">
        <v>466</v>
      </c>
      <c r="J170" t="s">
        <v>467</v>
      </c>
      <c r="K170" t="s">
        <v>468</v>
      </c>
      <c r="L170">
        <v>1296</v>
      </c>
      <c r="N170">
        <v>1002</v>
      </c>
      <c r="O170" t="s">
        <v>418</v>
      </c>
      <c r="P170" t="s">
        <v>418</v>
      </c>
      <c r="Q170">
        <v>1</v>
      </c>
      <c r="X170">
        <v>0.5</v>
      </c>
      <c r="Y170">
        <v>111.42</v>
      </c>
      <c r="Z170">
        <v>0</v>
      </c>
      <c r="AA170">
        <v>0</v>
      </c>
      <c r="AB170">
        <v>0</v>
      </c>
      <c r="AC170">
        <v>0</v>
      </c>
      <c r="AD170">
        <v>1</v>
      </c>
      <c r="AE170">
        <v>0</v>
      </c>
      <c r="AF170" t="s">
        <v>311</v>
      </c>
      <c r="AG170">
        <v>122.5</v>
      </c>
      <c r="AH170">
        <v>3</v>
      </c>
      <c r="AI170">
        <v>-1</v>
      </c>
      <c r="AJ170" t="s">
        <v>3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</row>
    <row r="171" spans="1:44" x14ac:dyDescent="0.2">
      <c r="A171">
        <f>ROW(Source!A289)</f>
        <v>289</v>
      </c>
      <c r="B171">
        <v>1471741179</v>
      </c>
      <c r="C171">
        <v>1471663774</v>
      </c>
      <c r="D171">
        <v>1441836514</v>
      </c>
      <c r="E171">
        <v>1</v>
      </c>
      <c r="F171">
        <v>1</v>
      </c>
      <c r="G171">
        <v>15514512</v>
      </c>
      <c r="H171">
        <v>3</v>
      </c>
      <c r="I171" t="s">
        <v>427</v>
      </c>
      <c r="J171" t="s">
        <v>428</v>
      </c>
      <c r="K171" t="s">
        <v>429</v>
      </c>
      <c r="L171">
        <v>1339</v>
      </c>
      <c r="N171">
        <v>1007</v>
      </c>
      <c r="O171" t="s">
        <v>430</v>
      </c>
      <c r="P171" t="s">
        <v>430</v>
      </c>
      <c r="Q171">
        <v>1</v>
      </c>
      <c r="X171">
        <v>0.01</v>
      </c>
      <c r="Y171">
        <v>54.81</v>
      </c>
      <c r="Z171">
        <v>0</v>
      </c>
      <c r="AA171">
        <v>0</v>
      </c>
      <c r="AB171">
        <v>0</v>
      </c>
      <c r="AC171">
        <v>0</v>
      </c>
      <c r="AD171">
        <v>1</v>
      </c>
      <c r="AE171">
        <v>0</v>
      </c>
      <c r="AF171" t="s">
        <v>311</v>
      </c>
      <c r="AG171">
        <v>2.4500000000000002</v>
      </c>
      <c r="AH171">
        <v>3</v>
      </c>
      <c r="AI171">
        <v>-1</v>
      </c>
      <c r="AJ171" t="s">
        <v>3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</row>
    <row r="172" spans="1:44" x14ac:dyDescent="0.2">
      <c r="A172">
        <f>ROW(Source!A290)</f>
        <v>290</v>
      </c>
      <c r="B172">
        <v>1471741214</v>
      </c>
      <c r="C172">
        <v>1471663784</v>
      </c>
      <c r="D172">
        <v>1441819193</v>
      </c>
      <c r="E172">
        <v>15514512</v>
      </c>
      <c r="F172">
        <v>1</v>
      </c>
      <c r="G172">
        <v>15514512</v>
      </c>
      <c r="H172">
        <v>1</v>
      </c>
      <c r="I172" t="s">
        <v>401</v>
      </c>
      <c r="J172" t="s">
        <v>3</v>
      </c>
      <c r="K172" t="s">
        <v>402</v>
      </c>
      <c r="L172">
        <v>1191</v>
      </c>
      <c r="N172">
        <v>1013</v>
      </c>
      <c r="O172" t="s">
        <v>403</v>
      </c>
      <c r="P172" t="s">
        <v>403</v>
      </c>
      <c r="Q172">
        <v>1</v>
      </c>
      <c r="X172">
        <v>8.15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1</v>
      </c>
      <c r="AE172">
        <v>1</v>
      </c>
      <c r="AF172" t="s">
        <v>311</v>
      </c>
      <c r="AG172">
        <v>1996.75</v>
      </c>
      <c r="AH172">
        <v>3</v>
      </c>
      <c r="AI172">
        <v>-1</v>
      </c>
      <c r="AJ172" t="s">
        <v>3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</row>
    <row r="173" spans="1:44" x14ac:dyDescent="0.2">
      <c r="A173">
        <f>ROW(Source!A290)</f>
        <v>290</v>
      </c>
      <c r="B173">
        <v>1471741215</v>
      </c>
      <c r="C173">
        <v>1471663784</v>
      </c>
      <c r="D173">
        <v>1441836372</v>
      </c>
      <c r="E173">
        <v>1</v>
      </c>
      <c r="F173">
        <v>1</v>
      </c>
      <c r="G173">
        <v>15514512</v>
      </c>
      <c r="H173">
        <v>3</v>
      </c>
      <c r="I173" t="s">
        <v>466</v>
      </c>
      <c r="J173" t="s">
        <v>467</v>
      </c>
      <c r="K173" t="s">
        <v>468</v>
      </c>
      <c r="L173">
        <v>1296</v>
      </c>
      <c r="N173">
        <v>1002</v>
      </c>
      <c r="O173" t="s">
        <v>418</v>
      </c>
      <c r="P173" t="s">
        <v>418</v>
      </c>
      <c r="Q173">
        <v>1</v>
      </c>
      <c r="X173">
        <v>0.5</v>
      </c>
      <c r="Y173">
        <v>111.42</v>
      </c>
      <c r="Z173">
        <v>0</v>
      </c>
      <c r="AA173">
        <v>0</v>
      </c>
      <c r="AB173">
        <v>0</v>
      </c>
      <c r="AC173">
        <v>0</v>
      </c>
      <c r="AD173">
        <v>1</v>
      </c>
      <c r="AE173">
        <v>0</v>
      </c>
      <c r="AF173" t="s">
        <v>311</v>
      </c>
      <c r="AG173">
        <v>122.5</v>
      </c>
      <c r="AH173">
        <v>3</v>
      </c>
      <c r="AI173">
        <v>-1</v>
      </c>
      <c r="AJ173" t="s">
        <v>3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</row>
    <row r="174" spans="1:44" x14ac:dyDescent="0.2">
      <c r="A174">
        <f>ROW(Source!A290)</f>
        <v>290</v>
      </c>
      <c r="B174">
        <v>1471741216</v>
      </c>
      <c r="C174">
        <v>1471663784</v>
      </c>
      <c r="D174">
        <v>1441836514</v>
      </c>
      <c r="E174">
        <v>1</v>
      </c>
      <c r="F174">
        <v>1</v>
      </c>
      <c r="G174">
        <v>15514512</v>
      </c>
      <c r="H174">
        <v>3</v>
      </c>
      <c r="I174" t="s">
        <v>427</v>
      </c>
      <c r="J174" t="s">
        <v>428</v>
      </c>
      <c r="K174" t="s">
        <v>429</v>
      </c>
      <c r="L174">
        <v>1339</v>
      </c>
      <c r="N174">
        <v>1007</v>
      </c>
      <c r="O174" t="s">
        <v>430</v>
      </c>
      <c r="P174" t="s">
        <v>430</v>
      </c>
      <c r="Q174">
        <v>1</v>
      </c>
      <c r="X174">
        <v>0.01</v>
      </c>
      <c r="Y174">
        <v>54.81</v>
      </c>
      <c r="Z174">
        <v>0</v>
      </c>
      <c r="AA174">
        <v>0</v>
      </c>
      <c r="AB174">
        <v>0</v>
      </c>
      <c r="AC174">
        <v>0</v>
      </c>
      <c r="AD174">
        <v>1</v>
      </c>
      <c r="AE174">
        <v>0</v>
      </c>
      <c r="AF174" t="s">
        <v>311</v>
      </c>
      <c r="AG174">
        <v>2.4500000000000002</v>
      </c>
      <c r="AH174">
        <v>3</v>
      </c>
      <c r="AI174">
        <v>-1</v>
      </c>
      <c r="AJ174" t="s">
        <v>3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</row>
    <row r="175" spans="1:44" x14ac:dyDescent="0.2">
      <c r="A175">
        <f>ROW(Source!A326)</f>
        <v>326</v>
      </c>
      <c r="B175">
        <v>1471741242</v>
      </c>
      <c r="C175">
        <v>1471663794</v>
      </c>
      <c r="D175">
        <v>1441819193</v>
      </c>
      <c r="E175">
        <v>15514512</v>
      </c>
      <c r="F175">
        <v>1</v>
      </c>
      <c r="G175">
        <v>15514512</v>
      </c>
      <c r="H175">
        <v>1</v>
      </c>
      <c r="I175" t="s">
        <v>401</v>
      </c>
      <c r="J175" t="s">
        <v>3</v>
      </c>
      <c r="K175" t="s">
        <v>402</v>
      </c>
      <c r="L175">
        <v>1191</v>
      </c>
      <c r="N175">
        <v>1013</v>
      </c>
      <c r="O175" t="s">
        <v>403</v>
      </c>
      <c r="P175" t="s">
        <v>403</v>
      </c>
      <c r="Q175">
        <v>1</v>
      </c>
      <c r="X175">
        <v>1.59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1</v>
      </c>
      <c r="AE175">
        <v>1</v>
      </c>
      <c r="AF175" t="s">
        <v>3</v>
      </c>
      <c r="AG175">
        <v>1.59</v>
      </c>
      <c r="AH175">
        <v>3</v>
      </c>
      <c r="AI175">
        <v>-1</v>
      </c>
      <c r="AJ175" t="s">
        <v>3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</row>
    <row r="176" spans="1:44" x14ac:dyDescent="0.2">
      <c r="A176">
        <f>ROW(Source!A326)</f>
        <v>326</v>
      </c>
      <c r="B176">
        <v>1471741243</v>
      </c>
      <c r="C176">
        <v>1471663794</v>
      </c>
      <c r="D176">
        <v>1441836235</v>
      </c>
      <c r="E176">
        <v>1</v>
      </c>
      <c r="F176">
        <v>1</v>
      </c>
      <c r="G176">
        <v>15514512</v>
      </c>
      <c r="H176">
        <v>3</v>
      </c>
      <c r="I176" t="s">
        <v>408</v>
      </c>
      <c r="J176" t="s">
        <v>409</v>
      </c>
      <c r="K176" t="s">
        <v>410</v>
      </c>
      <c r="L176">
        <v>1346</v>
      </c>
      <c r="N176">
        <v>1009</v>
      </c>
      <c r="O176" t="s">
        <v>411</v>
      </c>
      <c r="P176" t="s">
        <v>411</v>
      </c>
      <c r="Q176">
        <v>1</v>
      </c>
      <c r="X176">
        <v>0.01</v>
      </c>
      <c r="Y176">
        <v>31.49</v>
      </c>
      <c r="Z176">
        <v>0</v>
      </c>
      <c r="AA176">
        <v>0</v>
      </c>
      <c r="AB176">
        <v>0</v>
      </c>
      <c r="AC176">
        <v>0</v>
      </c>
      <c r="AD176">
        <v>1</v>
      </c>
      <c r="AE176">
        <v>0</v>
      </c>
      <c r="AF176" t="s">
        <v>3</v>
      </c>
      <c r="AG176">
        <v>0.01</v>
      </c>
      <c r="AH176">
        <v>3</v>
      </c>
      <c r="AI176">
        <v>-1</v>
      </c>
      <c r="AJ176" t="s">
        <v>3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</row>
    <row r="177" spans="1:44" x14ac:dyDescent="0.2">
      <c r="A177">
        <f>ROW(Source!A327)</f>
        <v>327</v>
      </c>
      <c r="B177">
        <v>1471741291</v>
      </c>
      <c r="C177">
        <v>1471663801</v>
      </c>
      <c r="D177">
        <v>1441819193</v>
      </c>
      <c r="E177">
        <v>15514512</v>
      </c>
      <c r="F177">
        <v>1</v>
      </c>
      <c r="G177">
        <v>15514512</v>
      </c>
      <c r="H177">
        <v>1</v>
      </c>
      <c r="I177" t="s">
        <v>401</v>
      </c>
      <c r="J177" t="s">
        <v>3</v>
      </c>
      <c r="K177" t="s">
        <v>402</v>
      </c>
      <c r="L177">
        <v>1191</v>
      </c>
      <c r="N177">
        <v>1013</v>
      </c>
      <c r="O177" t="s">
        <v>403</v>
      </c>
      <c r="P177" t="s">
        <v>403</v>
      </c>
      <c r="Q177">
        <v>1</v>
      </c>
      <c r="X177">
        <v>0.14000000000000001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1</v>
      </c>
      <c r="AE177">
        <v>1</v>
      </c>
      <c r="AF177" t="s">
        <v>3</v>
      </c>
      <c r="AG177">
        <v>0.14000000000000001</v>
      </c>
      <c r="AH177">
        <v>3</v>
      </c>
      <c r="AI177">
        <v>-1</v>
      </c>
      <c r="AJ177" t="s">
        <v>3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</row>
    <row r="178" spans="1:44" x14ac:dyDescent="0.2">
      <c r="A178">
        <f>ROW(Source!A327)</f>
        <v>327</v>
      </c>
      <c r="B178">
        <v>1471741292</v>
      </c>
      <c r="C178">
        <v>1471663801</v>
      </c>
      <c r="D178">
        <v>1441834213</v>
      </c>
      <c r="E178">
        <v>1</v>
      </c>
      <c r="F178">
        <v>1</v>
      </c>
      <c r="G178">
        <v>15514512</v>
      </c>
      <c r="H178">
        <v>2</v>
      </c>
      <c r="I178" t="s">
        <v>434</v>
      </c>
      <c r="J178" t="s">
        <v>435</v>
      </c>
      <c r="K178" t="s">
        <v>436</v>
      </c>
      <c r="L178">
        <v>1368</v>
      </c>
      <c r="N178">
        <v>1011</v>
      </c>
      <c r="O178" t="s">
        <v>407</v>
      </c>
      <c r="P178" t="s">
        <v>407</v>
      </c>
      <c r="Q178">
        <v>1</v>
      </c>
      <c r="X178">
        <v>0.03</v>
      </c>
      <c r="Y178">
        <v>0</v>
      </c>
      <c r="Z178">
        <v>7.68</v>
      </c>
      <c r="AA178">
        <v>0.05</v>
      </c>
      <c r="AB178">
        <v>0</v>
      </c>
      <c r="AC178">
        <v>0</v>
      </c>
      <c r="AD178">
        <v>1</v>
      </c>
      <c r="AE178">
        <v>0</v>
      </c>
      <c r="AF178" t="s">
        <v>3</v>
      </c>
      <c r="AG178">
        <v>0.03</v>
      </c>
      <c r="AH178">
        <v>3</v>
      </c>
      <c r="AI178">
        <v>-1</v>
      </c>
      <c r="AJ178" t="s">
        <v>3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</row>
    <row r="179" spans="1:44" x14ac:dyDescent="0.2">
      <c r="A179">
        <f>ROW(Source!A327)</f>
        <v>327</v>
      </c>
      <c r="B179">
        <v>1471741293</v>
      </c>
      <c r="C179">
        <v>1471663801</v>
      </c>
      <c r="D179">
        <v>1441836235</v>
      </c>
      <c r="E179">
        <v>1</v>
      </c>
      <c r="F179">
        <v>1</v>
      </c>
      <c r="G179">
        <v>15514512</v>
      </c>
      <c r="H179">
        <v>3</v>
      </c>
      <c r="I179" t="s">
        <v>408</v>
      </c>
      <c r="J179" t="s">
        <v>409</v>
      </c>
      <c r="K179" t="s">
        <v>410</v>
      </c>
      <c r="L179">
        <v>1346</v>
      </c>
      <c r="N179">
        <v>1009</v>
      </c>
      <c r="O179" t="s">
        <v>411</v>
      </c>
      <c r="P179" t="s">
        <v>411</v>
      </c>
      <c r="Q179">
        <v>1</v>
      </c>
      <c r="X179">
        <v>7.0000000000000007E-2</v>
      </c>
      <c r="Y179">
        <v>31.49</v>
      </c>
      <c r="Z179">
        <v>0</v>
      </c>
      <c r="AA179">
        <v>0</v>
      </c>
      <c r="AB179">
        <v>0</v>
      </c>
      <c r="AC179">
        <v>0</v>
      </c>
      <c r="AD179">
        <v>1</v>
      </c>
      <c r="AE179">
        <v>0</v>
      </c>
      <c r="AF179" t="s">
        <v>3</v>
      </c>
      <c r="AG179">
        <v>7.0000000000000007E-2</v>
      </c>
      <c r="AH179">
        <v>3</v>
      </c>
      <c r="AI179">
        <v>-1</v>
      </c>
      <c r="AJ179" t="s">
        <v>3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</row>
    <row r="180" spans="1:44" x14ac:dyDescent="0.2">
      <c r="A180">
        <f>ROW(Source!A328)</f>
        <v>328</v>
      </c>
      <c r="B180">
        <v>1471741322</v>
      </c>
      <c r="C180">
        <v>1471663811</v>
      </c>
      <c r="D180">
        <v>1441819193</v>
      </c>
      <c r="E180">
        <v>15514512</v>
      </c>
      <c r="F180">
        <v>1</v>
      </c>
      <c r="G180">
        <v>15514512</v>
      </c>
      <c r="H180">
        <v>1</v>
      </c>
      <c r="I180" t="s">
        <v>401</v>
      </c>
      <c r="J180" t="s">
        <v>3</v>
      </c>
      <c r="K180" t="s">
        <v>402</v>
      </c>
      <c r="L180">
        <v>1191</v>
      </c>
      <c r="N180">
        <v>1013</v>
      </c>
      <c r="O180" t="s">
        <v>403</v>
      </c>
      <c r="P180" t="s">
        <v>403</v>
      </c>
      <c r="Q180">
        <v>1</v>
      </c>
      <c r="X180">
        <v>0.41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1</v>
      </c>
      <c r="AE180">
        <v>1</v>
      </c>
      <c r="AF180" t="s">
        <v>163</v>
      </c>
      <c r="AG180">
        <v>1.23</v>
      </c>
      <c r="AH180">
        <v>3</v>
      </c>
      <c r="AI180">
        <v>-1</v>
      </c>
      <c r="AJ180" t="s">
        <v>3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</row>
    <row r="181" spans="1:44" x14ac:dyDescent="0.2">
      <c r="A181">
        <f>ROW(Source!A364)</f>
        <v>364</v>
      </c>
      <c r="B181">
        <v>1471741360</v>
      </c>
      <c r="C181">
        <v>1471663815</v>
      </c>
      <c r="D181">
        <v>1441819193</v>
      </c>
      <c r="E181">
        <v>15514512</v>
      </c>
      <c r="F181">
        <v>1</v>
      </c>
      <c r="G181">
        <v>15514512</v>
      </c>
      <c r="H181">
        <v>1</v>
      </c>
      <c r="I181" t="s">
        <v>401</v>
      </c>
      <c r="J181" t="s">
        <v>3</v>
      </c>
      <c r="K181" t="s">
        <v>402</v>
      </c>
      <c r="L181">
        <v>1191</v>
      </c>
      <c r="N181">
        <v>1013</v>
      </c>
      <c r="O181" t="s">
        <v>403</v>
      </c>
      <c r="P181" t="s">
        <v>403</v>
      </c>
      <c r="Q181">
        <v>1</v>
      </c>
      <c r="X181">
        <v>0.5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1</v>
      </c>
      <c r="AE181">
        <v>1</v>
      </c>
      <c r="AF181" t="s">
        <v>20</v>
      </c>
      <c r="AG181">
        <v>2</v>
      </c>
      <c r="AH181">
        <v>3</v>
      </c>
      <c r="AI181">
        <v>-1</v>
      </c>
      <c r="AJ181" t="s">
        <v>3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</row>
    <row r="182" spans="1:44" x14ac:dyDescent="0.2">
      <c r="A182">
        <f>ROW(Source!A365)</f>
        <v>365</v>
      </c>
      <c r="B182">
        <v>1471741431</v>
      </c>
      <c r="C182">
        <v>1471663819</v>
      </c>
      <c r="D182">
        <v>1441819193</v>
      </c>
      <c r="E182">
        <v>15514512</v>
      </c>
      <c r="F182">
        <v>1</v>
      </c>
      <c r="G182">
        <v>15514512</v>
      </c>
      <c r="H182">
        <v>1</v>
      </c>
      <c r="I182" t="s">
        <v>401</v>
      </c>
      <c r="J182" t="s">
        <v>3</v>
      </c>
      <c r="K182" t="s">
        <v>402</v>
      </c>
      <c r="L182">
        <v>1191</v>
      </c>
      <c r="N182">
        <v>1013</v>
      </c>
      <c r="O182" t="s">
        <v>403</v>
      </c>
      <c r="P182" t="s">
        <v>403</v>
      </c>
      <c r="Q182">
        <v>1</v>
      </c>
      <c r="X182">
        <v>1.76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1</v>
      </c>
      <c r="AE182">
        <v>1</v>
      </c>
      <c r="AF182" t="s">
        <v>42</v>
      </c>
      <c r="AG182">
        <v>3.52</v>
      </c>
      <c r="AH182">
        <v>3</v>
      </c>
      <c r="AI182">
        <v>-1</v>
      </c>
      <c r="AJ182" t="s">
        <v>3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</row>
    <row r="183" spans="1:44" x14ac:dyDescent="0.2">
      <c r="A183">
        <f>ROW(Source!A366)</f>
        <v>366</v>
      </c>
      <c r="B183">
        <v>1471741564</v>
      </c>
      <c r="C183">
        <v>1471663823</v>
      </c>
      <c r="D183">
        <v>1441819193</v>
      </c>
      <c r="E183">
        <v>15514512</v>
      </c>
      <c r="F183">
        <v>1</v>
      </c>
      <c r="G183">
        <v>15514512</v>
      </c>
      <c r="H183">
        <v>1</v>
      </c>
      <c r="I183" t="s">
        <v>401</v>
      </c>
      <c r="J183" t="s">
        <v>3</v>
      </c>
      <c r="K183" t="s">
        <v>402</v>
      </c>
      <c r="L183">
        <v>1191</v>
      </c>
      <c r="N183">
        <v>1013</v>
      </c>
      <c r="O183" t="s">
        <v>403</v>
      </c>
      <c r="P183" t="s">
        <v>403</v>
      </c>
      <c r="Q183">
        <v>1</v>
      </c>
      <c r="X183">
        <v>3.38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1</v>
      </c>
      <c r="AE183">
        <v>1</v>
      </c>
      <c r="AF183" t="s">
        <v>3</v>
      </c>
      <c r="AG183">
        <v>3.38</v>
      </c>
      <c r="AH183">
        <v>3</v>
      </c>
      <c r="AI183">
        <v>-1</v>
      </c>
      <c r="AJ183" t="s">
        <v>3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</row>
    <row r="184" spans="1:44" x14ac:dyDescent="0.2">
      <c r="A184">
        <f>ROW(Source!A366)</f>
        <v>366</v>
      </c>
      <c r="B184">
        <v>1471741565</v>
      </c>
      <c r="C184">
        <v>1471663823</v>
      </c>
      <c r="D184">
        <v>1441836235</v>
      </c>
      <c r="E184">
        <v>1</v>
      </c>
      <c r="F184">
        <v>1</v>
      </c>
      <c r="G184">
        <v>15514512</v>
      </c>
      <c r="H184">
        <v>3</v>
      </c>
      <c r="I184" t="s">
        <v>408</v>
      </c>
      <c r="J184" t="s">
        <v>409</v>
      </c>
      <c r="K184" t="s">
        <v>410</v>
      </c>
      <c r="L184">
        <v>1346</v>
      </c>
      <c r="N184">
        <v>1009</v>
      </c>
      <c r="O184" t="s">
        <v>411</v>
      </c>
      <c r="P184" t="s">
        <v>411</v>
      </c>
      <c r="Q184">
        <v>1</v>
      </c>
      <c r="X184">
        <v>0.1</v>
      </c>
      <c r="Y184">
        <v>31.49</v>
      </c>
      <c r="Z184">
        <v>0</v>
      </c>
      <c r="AA184">
        <v>0</v>
      </c>
      <c r="AB184">
        <v>0</v>
      </c>
      <c r="AC184">
        <v>0</v>
      </c>
      <c r="AD184">
        <v>1</v>
      </c>
      <c r="AE184">
        <v>0</v>
      </c>
      <c r="AF184" t="s">
        <v>3</v>
      </c>
      <c r="AG184">
        <v>0.1</v>
      </c>
      <c r="AH184">
        <v>3</v>
      </c>
      <c r="AI184">
        <v>-1</v>
      </c>
      <c r="AJ184" t="s">
        <v>3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</row>
    <row r="185" spans="1:44" x14ac:dyDescent="0.2">
      <c r="A185">
        <f>ROW(Source!A366)</f>
        <v>366</v>
      </c>
      <c r="B185">
        <v>1471741566</v>
      </c>
      <c r="C185">
        <v>1471663823</v>
      </c>
      <c r="D185">
        <v>1441821379</v>
      </c>
      <c r="E185">
        <v>15514512</v>
      </c>
      <c r="F185">
        <v>1</v>
      </c>
      <c r="G185">
        <v>15514512</v>
      </c>
      <c r="H185">
        <v>3</v>
      </c>
      <c r="I185" t="s">
        <v>437</v>
      </c>
      <c r="J185" t="s">
        <v>3</v>
      </c>
      <c r="K185" t="s">
        <v>438</v>
      </c>
      <c r="L185">
        <v>1346</v>
      </c>
      <c r="N185">
        <v>1009</v>
      </c>
      <c r="O185" t="s">
        <v>411</v>
      </c>
      <c r="P185" t="s">
        <v>411</v>
      </c>
      <c r="Q185">
        <v>1</v>
      </c>
      <c r="X185">
        <v>2.4E-2</v>
      </c>
      <c r="Y185">
        <v>89.933959999999999</v>
      </c>
      <c r="Z185">
        <v>0</v>
      </c>
      <c r="AA185">
        <v>0</v>
      </c>
      <c r="AB185">
        <v>0</v>
      </c>
      <c r="AC185">
        <v>0</v>
      </c>
      <c r="AD185">
        <v>1</v>
      </c>
      <c r="AE185">
        <v>0</v>
      </c>
      <c r="AF185" t="s">
        <v>3</v>
      </c>
      <c r="AG185">
        <v>2.4E-2</v>
      </c>
      <c r="AH185">
        <v>3</v>
      </c>
      <c r="AI185">
        <v>-1</v>
      </c>
      <c r="AJ185" t="s">
        <v>3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</row>
    <row r="186" spans="1:44" x14ac:dyDescent="0.2">
      <c r="A186">
        <f>ROW(Source!A367)</f>
        <v>367</v>
      </c>
      <c r="B186">
        <v>1471741589</v>
      </c>
      <c r="C186">
        <v>1471663833</v>
      </c>
      <c r="D186">
        <v>1441819193</v>
      </c>
      <c r="E186">
        <v>15514512</v>
      </c>
      <c r="F186">
        <v>1</v>
      </c>
      <c r="G186">
        <v>15514512</v>
      </c>
      <c r="H186">
        <v>1</v>
      </c>
      <c r="I186" t="s">
        <v>401</v>
      </c>
      <c r="J186" t="s">
        <v>3</v>
      </c>
      <c r="K186" t="s">
        <v>402</v>
      </c>
      <c r="L186">
        <v>1191</v>
      </c>
      <c r="N186">
        <v>1013</v>
      </c>
      <c r="O186" t="s">
        <v>403</v>
      </c>
      <c r="P186" t="s">
        <v>403</v>
      </c>
      <c r="Q186">
        <v>1</v>
      </c>
      <c r="X186">
        <v>1.42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1</v>
      </c>
      <c r="AE186">
        <v>1</v>
      </c>
      <c r="AF186" t="s">
        <v>3</v>
      </c>
      <c r="AG186">
        <v>1.42</v>
      </c>
      <c r="AH186">
        <v>3</v>
      </c>
      <c r="AI186">
        <v>-1</v>
      </c>
      <c r="AJ186" t="s">
        <v>3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</row>
    <row r="187" spans="1:44" x14ac:dyDescent="0.2">
      <c r="A187">
        <f>ROW(Source!A367)</f>
        <v>367</v>
      </c>
      <c r="B187">
        <v>1471741590</v>
      </c>
      <c r="C187">
        <v>1471663833</v>
      </c>
      <c r="D187">
        <v>1441833954</v>
      </c>
      <c r="E187">
        <v>1</v>
      </c>
      <c r="F187">
        <v>1</v>
      </c>
      <c r="G187">
        <v>15514512</v>
      </c>
      <c r="H187">
        <v>2</v>
      </c>
      <c r="I187" t="s">
        <v>439</v>
      </c>
      <c r="J187" t="s">
        <v>440</v>
      </c>
      <c r="K187" t="s">
        <v>441</v>
      </c>
      <c r="L187">
        <v>1368</v>
      </c>
      <c r="N187">
        <v>1011</v>
      </c>
      <c r="O187" t="s">
        <v>407</v>
      </c>
      <c r="P187" t="s">
        <v>407</v>
      </c>
      <c r="Q187">
        <v>1</v>
      </c>
      <c r="X187">
        <v>0.03</v>
      </c>
      <c r="Y187">
        <v>0</v>
      </c>
      <c r="Z187">
        <v>59.51</v>
      </c>
      <c r="AA187">
        <v>0.82</v>
      </c>
      <c r="AB187">
        <v>0</v>
      </c>
      <c r="AC187">
        <v>0</v>
      </c>
      <c r="AD187">
        <v>1</v>
      </c>
      <c r="AE187">
        <v>0</v>
      </c>
      <c r="AF187" t="s">
        <v>3</v>
      </c>
      <c r="AG187">
        <v>0.03</v>
      </c>
      <c r="AH187">
        <v>3</v>
      </c>
      <c r="AI187">
        <v>-1</v>
      </c>
      <c r="AJ187" t="s">
        <v>3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</row>
    <row r="188" spans="1:44" x14ac:dyDescent="0.2">
      <c r="A188">
        <f>ROW(Source!A367)</f>
        <v>367</v>
      </c>
      <c r="B188">
        <v>1471741591</v>
      </c>
      <c r="C188">
        <v>1471663833</v>
      </c>
      <c r="D188">
        <v>1441836235</v>
      </c>
      <c r="E188">
        <v>1</v>
      </c>
      <c r="F188">
        <v>1</v>
      </c>
      <c r="G188">
        <v>15514512</v>
      </c>
      <c r="H188">
        <v>3</v>
      </c>
      <c r="I188" t="s">
        <v>408</v>
      </c>
      <c r="J188" t="s">
        <v>409</v>
      </c>
      <c r="K188" t="s">
        <v>410</v>
      </c>
      <c r="L188">
        <v>1346</v>
      </c>
      <c r="N188">
        <v>1009</v>
      </c>
      <c r="O188" t="s">
        <v>411</v>
      </c>
      <c r="P188" t="s">
        <v>411</v>
      </c>
      <c r="Q188">
        <v>1</v>
      </c>
      <c r="X188">
        <v>0.01</v>
      </c>
      <c r="Y188">
        <v>31.49</v>
      </c>
      <c r="Z188">
        <v>0</v>
      </c>
      <c r="AA188">
        <v>0</v>
      </c>
      <c r="AB188">
        <v>0</v>
      </c>
      <c r="AC188">
        <v>0</v>
      </c>
      <c r="AD188">
        <v>1</v>
      </c>
      <c r="AE188">
        <v>0</v>
      </c>
      <c r="AF188" t="s">
        <v>3</v>
      </c>
      <c r="AG188">
        <v>0.01</v>
      </c>
      <c r="AH188">
        <v>3</v>
      </c>
      <c r="AI188">
        <v>-1</v>
      </c>
      <c r="AJ188" t="s">
        <v>3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</row>
    <row r="189" spans="1:44" x14ac:dyDescent="0.2">
      <c r="A189">
        <f>ROW(Source!A367)</f>
        <v>367</v>
      </c>
      <c r="B189">
        <v>1471741592</v>
      </c>
      <c r="C189">
        <v>1471663833</v>
      </c>
      <c r="D189">
        <v>1441836393</v>
      </c>
      <c r="E189">
        <v>1</v>
      </c>
      <c r="F189">
        <v>1</v>
      </c>
      <c r="G189">
        <v>15514512</v>
      </c>
      <c r="H189">
        <v>3</v>
      </c>
      <c r="I189" t="s">
        <v>442</v>
      </c>
      <c r="J189" t="s">
        <v>443</v>
      </c>
      <c r="K189" t="s">
        <v>444</v>
      </c>
      <c r="L189">
        <v>1296</v>
      </c>
      <c r="N189">
        <v>1002</v>
      </c>
      <c r="O189" t="s">
        <v>418</v>
      </c>
      <c r="P189" t="s">
        <v>418</v>
      </c>
      <c r="Q189">
        <v>1</v>
      </c>
      <c r="X189">
        <v>1E-4</v>
      </c>
      <c r="Y189">
        <v>4241.6400000000003</v>
      </c>
      <c r="Z189">
        <v>0</v>
      </c>
      <c r="AA189">
        <v>0</v>
      </c>
      <c r="AB189">
        <v>0</v>
      </c>
      <c r="AC189">
        <v>0</v>
      </c>
      <c r="AD189">
        <v>1</v>
      </c>
      <c r="AE189">
        <v>0</v>
      </c>
      <c r="AF189" t="s">
        <v>3</v>
      </c>
      <c r="AG189">
        <v>1E-4</v>
      </c>
      <c r="AH189">
        <v>3</v>
      </c>
      <c r="AI189">
        <v>-1</v>
      </c>
      <c r="AJ189" t="s">
        <v>3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</row>
    <row r="190" spans="1:44" x14ac:dyDescent="0.2">
      <c r="A190">
        <f>ROW(Source!A368)</f>
        <v>368</v>
      </c>
      <c r="B190">
        <v>1471741669</v>
      </c>
      <c r="C190">
        <v>1471663846</v>
      </c>
      <c r="D190">
        <v>1441819193</v>
      </c>
      <c r="E190">
        <v>15514512</v>
      </c>
      <c r="F190">
        <v>1</v>
      </c>
      <c r="G190">
        <v>15514512</v>
      </c>
      <c r="H190">
        <v>1</v>
      </c>
      <c r="I190" t="s">
        <v>401</v>
      </c>
      <c r="J190" t="s">
        <v>3</v>
      </c>
      <c r="K190" t="s">
        <v>402</v>
      </c>
      <c r="L190">
        <v>1191</v>
      </c>
      <c r="N190">
        <v>1013</v>
      </c>
      <c r="O190" t="s">
        <v>403</v>
      </c>
      <c r="P190" t="s">
        <v>403</v>
      </c>
      <c r="Q190">
        <v>1</v>
      </c>
      <c r="X190">
        <v>0.78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1</v>
      </c>
      <c r="AE190">
        <v>1</v>
      </c>
      <c r="AF190" t="s">
        <v>163</v>
      </c>
      <c r="AG190">
        <v>2.34</v>
      </c>
      <c r="AH190">
        <v>3</v>
      </c>
      <c r="AI190">
        <v>-1</v>
      </c>
      <c r="AJ190" t="s">
        <v>3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</row>
    <row r="191" spans="1:44" x14ac:dyDescent="0.2">
      <c r="A191">
        <f>ROW(Source!A368)</f>
        <v>368</v>
      </c>
      <c r="B191">
        <v>1471741670</v>
      </c>
      <c r="C191">
        <v>1471663846</v>
      </c>
      <c r="D191">
        <v>1441836235</v>
      </c>
      <c r="E191">
        <v>1</v>
      </c>
      <c r="F191">
        <v>1</v>
      </c>
      <c r="G191">
        <v>15514512</v>
      </c>
      <c r="H191">
        <v>3</v>
      </c>
      <c r="I191" t="s">
        <v>408</v>
      </c>
      <c r="J191" t="s">
        <v>409</v>
      </c>
      <c r="K191" t="s">
        <v>410</v>
      </c>
      <c r="L191">
        <v>1346</v>
      </c>
      <c r="N191">
        <v>1009</v>
      </c>
      <c r="O191" t="s">
        <v>411</v>
      </c>
      <c r="P191" t="s">
        <v>411</v>
      </c>
      <c r="Q191">
        <v>1</v>
      </c>
      <c r="X191">
        <v>0.01</v>
      </c>
      <c r="Y191">
        <v>31.49</v>
      </c>
      <c r="Z191">
        <v>0</v>
      </c>
      <c r="AA191">
        <v>0</v>
      </c>
      <c r="AB191">
        <v>0</v>
      </c>
      <c r="AC191">
        <v>0</v>
      </c>
      <c r="AD191">
        <v>1</v>
      </c>
      <c r="AE191">
        <v>0</v>
      </c>
      <c r="AF191" t="s">
        <v>163</v>
      </c>
      <c r="AG191">
        <v>0.03</v>
      </c>
      <c r="AH191">
        <v>3</v>
      </c>
      <c r="AI191">
        <v>-1</v>
      </c>
      <c r="AJ191" t="s">
        <v>3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</row>
    <row r="192" spans="1:44" x14ac:dyDescent="0.2">
      <c r="A192">
        <f>ROW(Source!A369)</f>
        <v>369</v>
      </c>
      <c r="B192">
        <v>1471741759</v>
      </c>
      <c r="C192">
        <v>1471663853</v>
      </c>
      <c r="D192">
        <v>1441819193</v>
      </c>
      <c r="E192">
        <v>15514512</v>
      </c>
      <c r="F192">
        <v>1</v>
      </c>
      <c r="G192">
        <v>15514512</v>
      </c>
      <c r="H192">
        <v>1</v>
      </c>
      <c r="I192" t="s">
        <v>401</v>
      </c>
      <c r="J192" t="s">
        <v>3</v>
      </c>
      <c r="K192" t="s">
        <v>402</v>
      </c>
      <c r="L192">
        <v>1191</v>
      </c>
      <c r="N192">
        <v>1013</v>
      </c>
      <c r="O192" t="s">
        <v>403</v>
      </c>
      <c r="P192" t="s">
        <v>403</v>
      </c>
      <c r="Q192">
        <v>1</v>
      </c>
      <c r="X192">
        <v>2.48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1</v>
      </c>
      <c r="AE192">
        <v>1</v>
      </c>
      <c r="AF192" t="s">
        <v>3</v>
      </c>
      <c r="AG192">
        <v>2.48</v>
      </c>
      <c r="AH192">
        <v>3</v>
      </c>
      <c r="AI192">
        <v>-1</v>
      </c>
      <c r="AJ192" t="s">
        <v>3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</row>
    <row r="193" spans="1:44" x14ac:dyDescent="0.2">
      <c r="A193">
        <f>ROW(Source!A369)</f>
        <v>369</v>
      </c>
      <c r="B193">
        <v>1471741761</v>
      </c>
      <c r="C193">
        <v>1471663853</v>
      </c>
      <c r="D193">
        <v>1441834146</v>
      </c>
      <c r="E193">
        <v>1</v>
      </c>
      <c r="F193">
        <v>1</v>
      </c>
      <c r="G193">
        <v>15514512</v>
      </c>
      <c r="H193">
        <v>2</v>
      </c>
      <c r="I193" t="s">
        <v>445</v>
      </c>
      <c r="J193" t="s">
        <v>446</v>
      </c>
      <c r="K193" t="s">
        <v>447</v>
      </c>
      <c r="L193">
        <v>1368</v>
      </c>
      <c r="N193">
        <v>1011</v>
      </c>
      <c r="O193" t="s">
        <v>407</v>
      </c>
      <c r="P193" t="s">
        <v>407</v>
      </c>
      <c r="Q193">
        <v>1</v>
      </c>
      <c r="X193">
        <v>0.17</v>
      </c>
      <c r="Y193">
        <v>0</v>
      </c>
      <c r="Z193">
        <v>20.55</v>
      </c>
      <c r="AA193">
        <v>0.31</v>
      </c>
      <c r="AB193">
        <v>0</v>
      </c>
      <c r="AC193">
        <v>0</v>
      </c>
      <c r="AD193">
        <v>1</v>
      </c>
      <c r="AE193">
        <v>0</v>
      </c>
      <c r="AF193" t="s">
        <v>3</v>
      </c>
      <c r="AG193">
        <v>0.17</v>
      </c>
      <c r="AH193">
        <v>3</v>
      </c>
      <c r="AI193">
        <v>-1</v>
      </c>
      <c r="AJ193" t="s">
        <v>3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</row>
    <row r="194" spans="1:44" x14ac:dyDescent="0.2">
      <c r="A194">
        <f>ROW(Source!A369)</f>
        <v>369</v>
      </c>
      <c r="B194">
        <v>1471741762</v>
      </c>
      <c r="C194">
        <v>1471663853</v>
      </c>
      <c r="D194">
        <v>1441836235</v>
      </c>
      <c r="E194">
        <v>1</v>
      </c>
      <c r="F194">
        <v>1</v>
      </c>
      <c r="G194">
        <v>15514512</v>
      </c>
      <c r="H194">
        <v>3</v>
      </c>
      <c r="I194" t="s">
        <v>408</v>
      </c>
      <c r="J194" t="s">
        <v>409</v>
      </c>
      <c r="K194" t="s">
        <v>410</v>
      </c>
      <c r="L194">
        <v>1346</v>
      </c>
      <c r="N194">
        <v>1009</v>
      </c>
      <c r="O194" t="s">
        <v>411</v>
      </c>
      <c r="P194" t="s">
        <v>411</v>
      </c>
      <c r="Q194">
        <v>1</v>
      </c>
      <c r="X194">
        <v>0.03</v>
      </c>
      <c r="Y194">
        <v>31.49</v>
      </c>
      <c r="Z194">
        <v>0</v>
      </c>
      <c r="AA194">
        <v>0</v>
      </c>
      <c r="AB194">
        <v>0</v>
      </c>
      <c r="AC194">
        <v>0</v>
      </c>
      <c r="AD194">
        <v>1</v>
      </c>
      <c r="AE194">
        <v>0</v>
      </c>
      <c r="AF194" t="s">
        <v>3</v>
      </c>
      <c r="AG194">
        <v>0.03</v>
      </c>
      <c r="AH194">
        <v>3</v>
      </c>
      <c r="AI194">
        <v>-1</v>
      </c>
      <c r="AJ194" t="s">
        <v>3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</row>
    <row r="195" spans="1:44" x14ac:dyDescent="0.2">
      <c r="A195">
        <f>ROW(Source!A370)</f>
        <v>370</v>
      </c>
      <c r="B195">
        <v>1471741793</v>
      </c>
      <c r="C195">
        <v>1471663863</v>
      </c>
      <c r="D195">
        <v>1441819193</v>
      </c>
      <c r="E195">
        <v>15514512</v>
      </c>
      <c r="F195">
        <v>1</v>
      </c>
      <c r="G195">
        <v>15514512</v>
      </c>
      <c r="H195">
        <v>1</v>
      </c>
      <c r="I195" t="s">
        <v>401</v>
      </c>
      <c r="J195" t="s">
        <v>3</v>
      </c>
      <c r="K195" t="s">
        <v>402</v>
      </c>
      <c r="L195">
        <v>1191</v>
      </c>
      <c r="N195">
        <v>1013</v>
      </c>
      <c r="O195" t="s">
        <v>403</v>
      </c>
      <c r="P195" t="s">
        <v>403</v>
      </c>
      <c r="Q195">
        <v>1</v>
      </c>
      <c r="X195">
        <v>1.86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1</v>
      </c>
      <c r="AE195">
        <v>1</v>
      </c>
      <c r="AF195" t="s">
        <v>163</v>
      </c>
      <c r="AG195">
        <v>5.58</v>
      </c>
      <c r="AH195">
        <v>3</v>
      </c>
      <c r="AI195">
        <v>-1</v>
      </c>
      <c r="AJ195" t="s">
        <v>3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</row>
    <row r="196" spans="1:44" x14ac:dyDescent="0.2">
      <c r="A196">
        <f>ROW(Source!A370)</f>
        <v>370</v>
      </c>
      <c r="B196">
        <v>1471741794</v>
      </c>
      <c r="C196">
        <v>1471663863</v>
      </c>
      <c r="D196">
        <v>1441834146</v>
      </c>
      <c r="E196">
        <v>1</v>
      </c>
      <c r="F196">
        <v>1</v>
      </c>
      <c r="G196">
        <v>15514512</v>
      </c>
      <c r="H196">
        <v>2</v>
      </c>
      <c r="I196" t="s">
        <v>445</v>
      </c>
      <c r="J196" t="s">
        <v>446</v>
      </c>
      <c r="K196" t="s">
        <v>447</v>
      </c>
      <c r="L196">
        <v>1368</v>
      </c>
      <c r="N196">
        <v>1011</v>
      </c>
      <c r="O196" t="s">
        <v>407</v>
      </c>
      <c r="P196" t="s">
        <v>407</v>
      </c>
      <c r="Q196">
        <v>1</v>
      </c>
      <c r="X196">
        <v>0.17</v>
      </c>
      <c r="Y196">
        <v>0</v>
      </c>
      <c r="Z196">
        <v>20.55</v>
      </c>
      <c r="AA196">
        <v>0.31</v>
      </c>
      <c r="AB196">
        <v>0</v>
      </c>
      <c r="AC196">
        <v>0</v>
      </c>
      <c r="AD196">
        <v>1</v>
      </c>
      <c r="AE196">
        <v>0</v>
      </c>
      <c r="AF196" t="s">
        <v>163</v>
      </c>
      <c r="AG196">
        <v>0.51</v>
      </c>
      <c r="AH196">
        <v>3</v>
      </c>
      <c r="AI196">
        <v>-1</v>
      </c>
      <c r="AJ196" t="s">
        <v>3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</row>
    <row r="197" spans="1:44" x14ac:dyDescent="0.2">
      <c r="A197">
        <f>ROW(Source!A370)</f>
        <v>370</v>
      </c>
      <c r="B197">
        <v>1471741795</v>
      </c>
      <c r="C197">
        <v>1471663863</v>
      </c>
      <c r="D197">
        <v>1441836235</v>
      </c>
      <c r="E197">
        <v>1</v>
      </c>
      <c r="F197">
        <v>1</v>
      </c>
      <c r="G197">
        <v>15514512</v>
      </c>
      <c r="H197">
        <v>3</v>
      </c>
      <c r="I197" t="s">
        <v>408</v>
      </c>
      <c r="J197" t="s">
        <v>409</v>
      </c>
      <c r="K197" t="s">
        <v>410</v>
      </c>
      <c r="L197">
        <v>1346</v>
      </c>
      <c r="N197">
        <v>1009</v>
      </c>
      <c r="O197" t="s">
        <v>411</v>
      </c>
      <c r="P197" t="s">
        <v>411</v>
      </c>
      <c r="Q197">
        <v>1</v>
      </c>
      <c r="X197">
        <v>0.03</v>
      </c>
      <c r="Y197">
        <v>31.49</v>
      </c>
      <c r="Z197">
        <v>0</v>
      </c>
      <c r="AA197">
        <v>0</v>
      </c>
      <c r="AB197">
        <v>0</v>
      </c>
      <c r="AC197">
        <v>0</v>
      </c>
      <c r="AD197">
        <v>1</v>
      </c>
      <c r="AE197">
        <v>0</v>
      </c>
      <c r="AF197" t="s">
        <v>163</v>
      </c>
      <c r="AG197">
        <v>0.09</v>
      </c>
      <c r="AH197">
        <v>3</v>
      </c>
      <c r="AI197">
        <v>-1</v>
      </c>
      <c r="AJ197" t="s">
        <v>3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</row>
    <row r="198" spans="1:44" x14ac:dyDescent="0.2">
      <c r="A198">
        <f>ROW(Source!A371)</f>
        <v>371</v>
      </c>
      <c r="B198">
        <v>1471741806</v>
      </c>
      <c r="C198">
        <v>1471663873</v>
      </c>
      <c r="D198">
        <v>1441819193</v>
      </c>
      <c r="E198">
        <v>15514512</v>
      </c>
      <c r="F198">
        <v>1</v>
      </c>
      <c r="G198">
        <v>15514512</v>
      </c>
      <c r="H198">
        <v>1</v>
      </c>
      <c r="I198" t="s">
        <v>401</v>
      </c>
      <c r="J198" t="s">
        <v>3</v>
      </c>
      <c r="K198" t="s">
        <v>402</v>
      </c>
      <c r="L198">
        <v>1191</v>
      </c>
      <c r="N198">
        <v>1013</v>
      </c>
      <c r="O198" t="s">
        <v>403</v>
      </c>
      <c r="P198" t="s">
        <v>403</v>
      </c>
      <c r="Q198">
        <v>1</v>
      </c>
      <c r="X198">
        <v>1.86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1</v>
      </c>
      <c r="AE198">
        <v>1</v>
      </c>
      <c r="AF198" t="s">
        <v>163</v>
      </c>
      <c r="AG198">
        <v>5.58</v>
      </c>
      <c r="AH198">
        <v>3</v>
      </c>
      <c r="AI198">
        <v>-1</v>
      </c>
      <c r="AJ198" t="s">
        <v>3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</row>
    <row r="199" spans="1:44" x14ac:dyDescent="0.2">
      <c r="A199">
        <f>ROW(Source!A371)</f>
        <v>371</v>
      </c>
      <c r="B199">
        <v>1471741807</v>
      </c>
      <c r="C199">
        <v>1471663873</v>
      </c>
      <c r="D199">
        <v>1441834146</v>
      </c>
      <c r="E199">
        <v>1</v>
      </c>
      <c r="F199">
        <v>1</v>
      </c>
      <c r="G199">
        <v>15514512</v>
      </c>
      <c r="H199">
        <v>2</v>
      </c>
      <c r="I199" t="s">
        <v>445</v>
      </c>
      <c r="J199" t="s">
        <v>446</v>
      </c>
      <c r="K199" t="s">
        <v>447</v>
      </c>
      <c r="L199">
        <v>1368</v>
      </c>
      <c r="N199">
        <v>1011</v>
      </c>
      <c r="O199" t="s">
        <v>407</v>
      </c>
      <c r="P199" t="s">
        <v>407</v>
      </c>
      <c r="Q199">
        <v>1</v>
      </c>
      <c r="X199">
        <v>0.17</v>
      </c>
      <c r="Y199">
        <v>0</v>
      </c>
      <c r="Z199">
        <v>20.55</v>
      </c>
      <c r="AA199">
        <v>0.31</v>
      </c>
      <c r="AB199">
        <v>0</v>
      </c>
      <c r="AC199">
        <v>0</v>
      </c>
      <c r="AD199">
        <v>1</v>
      </c>
      <c r="AE199">
        <v>0</v>
      </c>
      <c r="AF199" t="s">
        <v>163</v>
      </c>
      <c r="AG199">
        <v>0.51</v>
      </c>
      <c r="AH199">
        <v>3</v>
      </c>
      <c r="AI199">
        <v>-1</v>
      </c>
      <c r="AJ199" t="s">
        <v>3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</row>
    <row r="200" spans="1:44" x14ac:dyDescent="0.2">
      <c r="A200">
        <f>ROW(Source!A371)</f>
        <v>371</v>
      </c>
      <c r="B200">
        <v>1471741808</v>
      </c>
      <c r="C200">
        <v>1471663873</v>
      </c>
      <c r="D200">
        <v>1441836235</v>
      </c>
      <c r="E200">
        <v>1</v>
      </c>
      <c r="F200">
        <v>1</v>
      </c>
      <c r="G200">
        <v>15514512</v>
      </c>
      <c r="H200">
        <v>3</v>
      </c>
      <c r="I200" t="s">
        <v>408</v>
      </c>
      <c r="J200" t="s">
        <v>409</v>
      </c>
      <c r="K200" t="s">
        <v>410</v>
      </c>
      <c r="L200">
        <v>1346</v>
      </c>
      <c r="N200">
        <v>1009</v>
      </c>
      <c r="O200" t="s">
        <v>411</v>
      </c>
      <c r="P200" t="s">
        <v>411</v>
      </c>
      <c r="Q200">
        <v>1</v>
      </c>
      <c r="X200">
        <v>0.03</v>
      </c>
      <c r="Y200">
        <v>31.49</v>
      </c>
      <c r="Z200">
        <v>0</v>
      </c>
      <c r="AA200">
        <v>0</v>
      </c>
      <c r="AB200">
        <v>0</v>
      </c>
      <c r="AC200">
        <v>0</v>
      </c>
      <c r="AD200">
        <v>1</v>
      </c>
      <c r="AE200">
        <v>0</v>
      </c>
      <c r="AF200" t="s">
        <v>163</v>
      </c>
      <c r="AG200">
        <v>0.09</v>
      </c>
      <c r="AH200">
        <v>3</v>
      </c>
      <c r="AI200">
        <v>-1</v>
      </c>
      <c r="AJ200" t="s">
        <v>3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</row>
    <row r="201" spans="1:44" x14ac:dyDescent="0.2">
      <c r="A201">
        <f>ROW(Source!A372)</f>
        <v>372</v>
      </c>
      <c r="B201">
        <v>1471741835</v>
      </c>
      <c r="C201">
        <v>1471663883</v>
      </c>
      <c r="D201">
        <v>1441819193</v>
      </c>
      <c r="E201">
        <v>15514512</v>
      </c>
      <c r="F201">
        <v>1</v>
      </c>
      <c r="G201">
        <v>15514512</v>
      </c>
      <c r="H201">
        <v>1</v>
      </c>
      <c r="I201" t="s">
        <v>401</v>
      </c>
      <c r="J201" t="s">
        <v>3</v>
      </c>
      <c r="K201" t="s">
        <v>402</v>
      </c>
      <c r="L201">
        <v>1191</v>
      </c>
      <c r="N201">
        <v>1013</v>
      </c>
      <c r="O201" t="s">
        <v>403</v>
      </c>
      <c r="P201" t="s">
        <v>403</v>
      </c>
      <c r="Q201">
        <v>1</v>
      </c>
      <c r="X201">
        <v>2.48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1</v>
      </c>
      <c r="AE201">
        <v>1</v>
      </c>
      <c r="AF201" t="s">
        <v>3</v>
      </c>
      <c r="AG201">
        <v>2.48</v>
      </c>
      <c r="AH201">
        <v>3</v>
      </c>
      <c r="AI201">
        <v>-1</v>
      </c>
      <c r="AJ201" t="s">
        <v>3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</row>
    <row r="202" spans="1:44" x14ac:dyDescent="0.2">
      <c r="A202">
        <f>ROW(Source!A372)</f>
        <v>372</v>
      </c>
      <c r="B202">
        <v>1471741836</v>
      </c>
      <c r="C202">
        <v>1471663883</v>
      </c>
      <c r="D202">
        <v>1441834146</v>
      </c>
      <c r="E202">
        <v>1</v>
      </c>
      <c r="F202">
        <v>1</v>
      </c>
      <c r="G202">
        <v>15514512</v>
      </c>
      <c r="H202">
        <v>2</v>
      </c>
      <c r="I202" t="s">
        <v>445</v>
      </c>
      <c r="J202" t="s">
        <v>446</v>
      </c>
      <c r="K202" t="s">
        <v>447</v>
      </c>
      <c r="L202">
        <v>1368</v>
      </c>
      <c r="N202">
        <v>1011</v>
      </c>
      <c r="O202" t="s">
        <v>407</v>
      </c>
      <c r="P202" t="s">
        <v>407</v>
      </c>
      <c r="Q202">
        <v>1</v>
      </c>
      <c r="X202">
        <v>0.17</v>
      </c>
      <c r="Y202">
        <v>0</v>
      </c>
      <c r="Z202">
        <v>20.55</v>
      </c>
      <c r="AA202">
        <v>0.31</v>
      </c>
      <c r="AB202">
        <v>0</v>
      </c>
      <c r="AC202">
        <v>0</v>
      </c>
      <c r="AD202">
        <v>1</v>
      </c>
      <c r="AE202">
        <v>0</v>
      </c>
      <c r="AF202" t="s">
        <v>3</v>
      </c>
      <c r="AG202">
        <v>0.17</v>
      </c>
      <c r="AH202">
        <v>3</v>
      </c>
      <c r="AI202">
        <v>-1</v>
      </c>
      <c r="AJ202" t="s">
        <v>3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</row>
    <row r="203" spans="1:44" x14ac:dyDescent="0.2">
      <c r="A203">
        <f>ROW(Source!A372)</f>
        <v>372</v>
      </c>
      <c r="B203">
        <v>1471741838</v>
      </c>
      <c r="C203">
        <v>1471663883</v>
      </c>
      <c r="D203">
        <v>1441836235</v>
      </c>
      <c r="E203">
        <v>1</v>
      </c>
      <c r="F203">
        <v>1</v>
      </c>
      <c r="G203">
        <v>15514512</v>
      </c>
      <c r="H203">
        <v>3</v>
      </c>
      <c r="I203" t="s">
        <v>408</v>
      </c>
      <c r="J203" t="s">
        <v>409</v>
      </c>
      <c r="K203" t="s">
        <v>410</v>
      </c>
      <c r="L203">
        <v>1346</v>
      </c>
      <c r="N203">
        <v>1009</v>
      </c>
      <c r="O203" t="s">
        <v>411</v>
      </c>
      <c r="P203" t="s">
        <v>411</v>
      </c>
      <c r="Q203">
        <v>1</v>
      </c>
      <c r="X203">
        <v>0.03</v>
      </c>
      <c r="Y203">
        <v>31.49</v>
      </c>
      <c r="Z203">
        <v>0</v>
      </c>
      <c r="AA203">
        <v>0</v>
      </c>
      <c r="AB203">
        <v>0</v>
      </c>
      <c r="AC203">
        <v>0</v>
      </c>
      <c r="AD203">
        <v>1</v>
      </c>
      <c r="AE203">
        <v>0</v>
      </c>
      <c r="AF203" t="s">
        <v>3</v>
      </c>
      <c r="AG203">
        <v>0.03</v>
      </c>
      <c r="AH203">
        <v>3</v>
      </c>
      <c r="AI203">
        <v>-1</v>
      </c>
      <c r="AJ203" t="s">
        <v>3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</row>
    <row r="204" spans="1:44" x14ac:dyDescent="0.2">
      <c r="A204">
        <f>ROW(Source!A409)</f>
        <v>409</v>
      </c>
      <c r="B204">
        <v>1471741860</v>
      </c>
      <c r="C204">
        <v>1471663894</v>
      </c>
      <c r="D204">
        <v>1441819193</v>
      </c>
      <c r="E204">
        <v>15514512</v>
      </c>
      <c r="F204">
        <v>1</v>
      </c>
      <c r="G204">
        <v>15514512</v>
      </c>
      <c r="H204">
        <v>1</v>
      </c>
      <c r="I204" t="s">
        <v>401</v>
      </c>
      <c r="J204" t="s">
        <v>3</v>
      </c>
      <c r="K204" t="s">
        <v>402</v>
      </c>
      <c r="L204">
        <v>1191</v>
      </c>
      <c r="N204">
        <v>1013</v>
      </c>
      <c r="O204" t="s">
        <v>403</v>
      </c>
      <c r="P204" t="s">
        <v>403</v>
      </c>
      <c r="Q204">
        <v>1</v>
      </c>
      <c r="X204">
        <v>24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1</v>
      </c>
      <c r="AE204">
        <v>1</v>
      </c>
      <c r="AF204" t="s">
        <v>3</v>
      </c>
      <c r="AG204">
        <v>24</v>
      </c>
      <c r="AH204">
        <v>3</v>
      </c>
      <c r="AI204">
        <v>-1</v>
      </c>
      <c r="AJ204" t="s">
        <v>3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</row>
    <row r="205" spans="1:44" x14ac:dyDescent="0.2">
      <c r="A205">
        <f>ROW(Source!A409)</f>
        <v>409</v>
      </c>
      <c r="B205">
        <v>1471741862</v>
      </c>
      <c r="C205">
        <v>1471663894</v>
      </c>
      <c r="D205">
        <v>1441836237</v>
      </c>
      <c r="E205">
        <v>1</v>
      </c>
      <c r="F205">
        <v>1</v>
      </c>
      <c r="G205">
        <v>15514512</v>
      </c>
      <c r="H205">
        <v>3</v>
      </c>
      <c r="I205" t="s">
        <v>448</v>
      </c>
      <c r="J205" t="s">
        <v>449</v>
      </c>
      <c r="K205" t="s">
        <v>450</v>
      </c>
      <c r="L205">
        <v>1346</v>
      </c>
      <c r="N205">
        <v>1009</v>
      </c>
      <c r="O205" t="s">
        <v>411</v>
      </c>
      <c r="P205" t="s">
        <v>411</v>
      </c>
      <c r="Q205">
        <v>1</v>
      </c>
      <c r="X205">
        <v>0.48</v>
      </c>
      <c r="Y205">
        <v>375.16</v>
      </c>
      <c r="Z205">
        <v>0</v>
      </c>
      <c r="AA205">
        <v>0</v>
      </c>
      <c r="AB205">
        <v>0</v>
      </c>
      <c r="AC205">
        <v>0</v>
      </c>
      <c r="AD205">
        <v>1</v>
      </c>
      <c r="AE205">
        <v>0</v>
      </c>
      <c r="AF205" t="s">
        <v>3</v>
      </c>
      <c r="AG205">
        <v>0.48</v>
      </c>
      <c r="AH205">
        <v>3</v>
      </c>
      <c r="AI205">
        <v>-1</v>
      </c>
      <c r="AJ205" t="s">
        <v>3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</row>
    <row r="206" spans="1:44" x14ac:dyDescent="0.2">
      <c r="A206">
        <f>ROW(Source!A409)</f>
        <v>409</v>
      </c>
      <c r="B206">
        <v>1471741863</v>
      </c>
      <c r="C206">
        <v>1471663894</v>
      </c>
      <c r="D206">
        <v>1441836235</v>
      </c>
      <c r="E206">
        <v>1</v>
      </c>
      <c r="F206">
        <v>1</v>
      </c>
      <c r="G206">
        <v>15514512</v>
      </c>
      <c r="H206">
        <v>3</v>
      </c>
      <c r="I206" t="s">
        <v>408</v>
      </c>
      <c r="J206" t="s">
        <v>409</v>
      </c>
      <c r="K206" t="s">
        <v>410</v>
      </c>
      <c r="L206">
        <v>1346</v>
      </c>
      <c r="N206">
        <v>1009</v>
      </c>
      <c r="O206" t="s">
        <v>411</v>
      </c>
      <c r="P206" t="s">
        <v>411</v>
      </c>
      <c r="Q206">
        <v>1</v>
      </c>
      <c r="X206">
        <v>0.14000000000000001</v>
      </c>
      <c r="Y206">
        <v>31.49</v>
      </c>
      <c r="Z206">
        <v>0</v>
      </c>
      <c r="AA206">
        <v>0</v>
      </c>
      <c r="AB206">
        <v>0</v>
      </c>
      <c r="AC206">
        <v>0</v>
      </c>
      <c r="AD206">
        <v>1</v>
      </c>
      <c r="AE206">
        <v>0</v>
      </c>
      <c r="AF206" t="s">
        <v>3</v>
      </c>
      <c r="AG206">
        <v>0.14000000000000001</v>
      </c>
      <c r="AH206">
        <v>3</v>
      </c>
      <c r="AI206">
        <v>-1</v>
      </c>
      <c r="AJ206" t="s">
        <v>3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</row>
    <row r="207" spans="1:44" x14ac:dyDescent="0.2">
      <c r="A207">
        <f>ROW(Source!A409)</f>
        <v>409</v>
      </c>
      <c r="B207">
        <v>1471741861</v>
      </c>
      <c r="C207">
        <v>1471663894</v>
      </c>
      <c r="D207">
        <v>1441822228</v>
      </c>
      <c r="E207">
        <v>15514512</v>
      </c>
      <c r="F207">
        <v>1</v>
      </c>
      <c r="G207">
        <v>15514512</v>
      </c>
      <c r="H207">
        <v>3</v>
      </c>
      <c r="I207" t="s">
        <v>451</v>
      </c>
      <c r="J207" t="s">
        <v>3</v>
      </c>
      <c r="K207" t="s">
        <v>452</v>
      </c>
      <c r="L207">
        <v>1346</v>
      </c>
      <c r="N207">
        <v>1009</v>
      </c>
      <c r="O207" t="s">
        <v>411</v>
      </c>
      <c r="P207" t="s">
        <v>411</v>
      </c>
      <c r="Q207">
        <v>1</v>
      </c>
      <c r="X207">
        <v>0.14000000000000001</v>
      </c>
      <c r="Y207">
        <v>73.951729999999998</v>
      </c>
      <c r="Z207">
        <v>0</v>
      </c>
      <c r="AA207">
        <v>0</v>
      </c>
      <c r="AB207">
        <v>0</v>
      </c>
      <c r="AC207">
        <v>0</v>
      </c>
      <c r="AD207">
        <v>1</v>
      </c>
      <c r="AE207">
        <v>0</v>
      </c>
      <c r="AF207" t="s">
        <v>3</v>
      </c>
      <c r="AG207">
        <v>0.14000000000000001</v>
      </c>
      <c r="AH207">
        <v>3</v>
      </c>
      <c r="AI207">
        <v>-1</v>
      </c>
      <c r="AJ207" t="s">
        <v>3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</row>
    <row r="208" spans="1:44" x14ac:dyDescent="0.2">
      <c r="A208">
        <f>ROW(Source!A409)</f>
        <v>409</v>
      </c>
      <c r="B208">
        <v>1471741864</v>
      </c>
      <c r="C208">
        <v>1471663894</v>
      </c>
      <c r="D208">
        <v>1441834920</v>
      </c>
      <c r="E208">
        <v>1</v>
      </c>
      <c r="F208">
        <v>1</v>
      </c>
      <c r="G208">
        <v>15514512</v>
      </c>
      <c r="H208">
        <v>3</v>
      </c>
      <c r="I208" t="s">
        <v>453</v>
      </c>
      <c r="J208" t="s">
        <v>454</v>
      </c>
      <c r="K208" t="s">
        <v>455</v>
      </c>
      <c r="L208">
        <v>1346</v>
      </c>
      <c r="N208">
        <v>1009</v>
      </c>
      <c r="O208" t="s">
        <v>411</v>
      </c>
      <c r="P208" t="s">
        <v>411</v>
      </c>
      <c r="Q208">
        <v>1</v>
      </c>
      <c r="X208">
        <v>0.1</v>
      </c>
      <c r="Y208">
        <v>106.87</v>
      </c>
      <c r="Z208">
        <v>0</v>
      </c>
      <c r="AA208">
        <v>0</v>
      </c>
      <c r="AB208">
        <v>0</v>
      </c>
      <c r="AC208">
        <v>0</v>
      </c>
      <c r="AD208">
        <v>1</v>
      </c>
      <c r="AE208">
        <v>0</v>
      </c>
      <c r="AF208" t="s">
        <v>3</v>
      </c>
      <c r="AG208">
        <v>0.1</v>
      </c>
      <c r="AH208">
        <v>3</v>
      </c>
      <c r="AI208">
        <v>-1</v>
      </c>
      <c r="AJ208" t="s">
        <v>3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</row>
    <row r="209" spans="1:44" x14ac:dyDescent="0.2">
      <c r="A209">
        <f>ROW(Source!A410)</f>
        <v>410</v>
      </c>
      <c r="B209">
        <v>1471741889</v>
      </c>
      <c r="C209">
        <v>1471663910</v>
      </c>
      <c r="D209">
        <v>1441819193</v>
      </c>
      <c r="E209">
        <v>15514512</v>
      </c>
      <c r="F209">
        <v>1</v>
      </c>
      <c r="G209">
        <v>15514512</v>
      </c>
      <c r="H209">
        <v>1</v>
      </c>
      <c r="I209" t="s">
        <v>401</v>
      </c>
      <c r="J209" t="s">
        <v>3</v>
      </c>
      <c r="K209" t="s">
        <v>402</v>
      </c>
      <c r="L209">
        <v>1191</v>
      </c>
      <c r="N209">
        <v>1013</v>
      </c>
      <c r="O209" t="s">
        <v>403</v>
      </c>
      <c r="P209" t="s">
        <v>403</v>
      </c>
      <c r="Q209">
        <v>1</v>
      </c>
      <c r="X209">
        <v>0.8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1</v>
      </c>
      <c r="AE209">
        <v>1</v>
      </c>
      <c r="AF209" t="s">
        <v>163</v>
      </c>
      <c r="AG209">
        <v>2.4000000000000004</v>
      </c>
      <c r="AH209">
        <v>3</v>
      </c>
      <c r="AI209">
        <v>-1</v>
      </c>
      <c r="AJ209" t="s">
        <v>3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</row>
    <row r="210" spans="1:44" x14ac:dyDescent="0.2">
      <c r="A210">
        <f>ROW(Source!A410)</f>
        <v>410</v>
      </c>
      <c r="B210">
        <v>1471741890</v>
      </c>
      <c r="C210">
        <v>1471663910</v>
      </c>
      <c r="D210">
        <v>1441822228</v>
      </c>
      <c r="E210">
        <v>15514512</v>
      </c>
      <c r="F210">
        <v>1</v>
      </c>
      <c r="G210">
        <v>15514512</v>
      </c>
      <c r="H210">
        <v>3</v>
      </c>
      <c r="I210" t="s">
        <v>451</v>
      </c>
      <c r="J210" t="s">
        <v>3</v>
      </c>
      <c r="K210" t="s">
        <v>452</v>
      </c>
      <c r="L210">
        <v>1346</v>
      </c>
      <c r="N210">
        <v>1009</v>
      </c>
      <c r="O210" t="s">
        <v>411</v>
      </c>
      <c r="P210" t="s">
        <v>411</v>
      </c>
      <c r="Q210">
        <v>1</v>
      </c>
      <c r="X210">
        <v>0.01</v>
      </c>
      <c r="Y210">
        <v>73.951729999999998</v>
      </c>
      <c r="Z210">
        <v>0</v>
      </c>
      <c r="AA210">
        <v>0</v>
      </c>
      <c r="AB210">
        <v>0</v>
      </c>
      <c r="AC210">
        <v>0</v>
      </c>
      <c r="AD210">
        <v>1</v>
      </c>
      <c r="AE210">
        <v>0</v>
      </c>
      <c r="AF210" t="s">
        <v>163</v>
      </c>
      <c r="AG210">
        <v>0.03</v>
      </c>
      <c r="AH210">
        <v>3</v>
      </c>
      <c r="AI210">
        <v>-1</v>
      </c>
      <c r="AJ210" t="s">
        <v>3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</row>
    <row r="211" spans="1:44" x14ac:dyDescent="0.2">
      <c r="A211">
        <f>ROW(Source!A411)</f>
        <v>411</v>
      </c>
      <c r="B211">
        <v>1471741910</v>
      </c>
      <c r="C211">
        <v>1471663917</v>
      </c>
      <c r="D211">
        <v>1441819193</v>
      </c>
      <c r="E211">
        <v>15514512</v>
      </c>
      <c r="F211">
        <v>1</v>
      </c>
      <c r="G211">
        <v>15514512</v>
      </c>
      <c r="H211">
        <v>1</v>
      </c>
      <c r="I211" t="s">
        <v>401</v>
      </c>
      <c r="J211" t="s">
        <v>3</v>
      </c>
      <c r="K211" t="s">
        <v>402</v>
      </c>
      <c r="L211">
        <v>1191</v>
      </c>
      <c r="N211">
        <v>1013</v>
      </c>
      <c r="O211" t="s">
        <v>403</v>
      </c>
      <c r="P211" t="s">
        <v>403</v>
      </c>
      <c r="Q211">
        <v>1</v>
      </c>
      <c r="X211">
        <v>0.05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1</v>
      </c>
      <c r="AE211">
        <v>1</v>
      </c>
      <c r="AF211" t="s">
        <v>163</v>
      </c>
      <c r="AG211">
        <v>0.15000000000000002</v>
      </c>
      <c r="AH211">
        <v>3</v>
      </c>
      <c r="AI211">
        <v>-1</v>
      </c>
      <c r="AJ211" t="s">
        <v>3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</row>
    <row r="212" spans="1:44" x14ac:dyDescent="0.2">
      <c r="A212">
        <f>ROW(Source!A412)</f>
        <v>412</v>
      </c>
      <c r="B212">
        <v>1471741943</v>
      </c>
      <c r="C212">
        <v>1471663921</v>
      </c>
      <c r="D212">
        <v>1441819193</v>
      </c>
      <c r="E212">
        <v>15514512</v>
      </c>
      <c r="F212">
        <v>1</v>
      </c>
      <c r="G212">
        <v>15514512</v>
      </c>
      <c r="H212">
        <v>1</v>
      </c>
      <c r="I212" t="s">
        <v>401</v>
      </c>
      <c r="J212" t="s">
        <v>3</v>
      </c>
      <c r="K212" t="s">
        <v>402</v>
      </c>
      <c r="L212">
        <v>1191</v>
      </c>
      <c r="N212">
        <v>1013</v>
      </c>
      <c r="O212" t="s">
        <v>403</v>
      </c>
      <c r="P212" t="s">
        <v>403</v>
      </c>
      <c r="Q212">
        <v>1</v>
      </c>
      <c r="X212">
        <v>1.5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1</v>
      </c>
      <c r="AE212">
        <v>1</v>
      </c>
      <c r="AF212" t="s">
        <v>3</v>
      </c>
      <c r="AG212">
        <v>1.5</v>
      </c>
      <c r="AH212">
        <v>3</v>
      </c>
      <c r="AI212">
        <v>-1</v>
      </c>
      <c r="AJ212" t="s">
        <v>3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</row>
    <row r="213" spans="1:44" x14ac:dyDescent="0.2">
      <c r="A213">
        <f>ROW(Source!A412)</f>
        <v>412</v>
      </c>
      <c r="B213">
        <v>1471741945</v>
      </c>
      <c r="C213">
        <v>1471663921</v>
      </c>
      <c r="D213">
        <v>1441820422</v>
      </c>
      <c r="E213">
        <v>15514512</v>
      </c>
      <c r="F213">
        <v>1</v>
      </c>
      <c r="G213">
        <v>15514512</v>
      </c>
      <c r="H213">
        <v>3</v>
      </c>
      <c r="I213" t="s">
        <v>456</v>
      </c>
      <c r="J213" t="s">
        <v>3</v>
      </c>
      <c r="K213" t="s">
        <v>457</v>
      </c>
      <c r="L213">
        <v>1346</v>
      </c>
      <c r="N213">
        <v>1009</v>
      </c>
      <c r="O213" t="s">
        <v>411</v>
      </c>
      <c r="P213" t="s">
        <v>411</v>
      </c>
      <c r="Q213">
        <v>1</v>
      </c>
      <c r="X213">
        <v>4.0000000000000001E-3</v>
      </c>
      <c r="Y213">
        <v>1511.54088</v>
      </c>
      <c r="Z213">
        <v>0</v>
      </c>
      <c r="AA213">
        <v>0</v>
      </c>
      <c r="AB213">
        <v>0</v>
      </c>
      <c r="AC213">
        <v>0</v>
      </c>
      <c r="AD213">
        <v>1</v>
      </c>
      <c r="AE213">
        <v>0</v>
      </c>
      <c r="AF213" t="s">
        <v>3</v>
      </c>
      <c r="AG213">
        <v>4.0000000000000001E-3</v>
      </c>
      <c r="AH213">
        <v>3</v>
      </c>
      <c r="AI213">
        <v>-1</v>
      </c>
      <c r="AJ213" t="s">
        <v>3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</row>
    <row r="214" spans="1:44" x14ac:dyDescent="0.2">
      <c r="A214">
        <f>ROW(Source!A412)</f>
        <v>412</v>
      </c>
      <c r="B214">
        <v>1471741946</v>
      </c>
      <c r="C214">
        <v>1471663921</v>
      </c>
      <c r="D214">
        <v>1441836235</v>
      </c>
      <c r="E214">
        <v>1</v>
      </c>
      <c r="F214">
        <v>1</v>
      </c>
      <c r="G214">
        <v>15514512</v>
      </c>
      <c r="H214">
        <v>3</v>
      </c>
      <c r="I214" t="s">
        <v>408</v>
      </c>
      <c r="J214" t="s">
        <v>409</v>
      </c>
      <c r="K214" t="s">
        <v>410</v>
      </c>
      <c r="L214">
        <v>1346</v>
      </c>
      <c r="N214">
        <v>1009</v>
      </c>
      <c r="O214" t="s">
        <v>411</v>
      </c>
      <c r="P214" t="s">
        <v>411</v>
      </c>
      <c r="Q214">
        <v>1</v>
      </c>
      <c r="X214">
        <v>0.01</v>
      </c>
      <c r="Y214">
        <v>31.49</v>
      </c>
      <c r="Z214">
        <v>0</v>
      </c>
      <c r="AA214">
        <v>0</v>
      </c>
      <c r="AB214">
        <v>0</v>
      </c>
      <c r="AC214">
        <v>0</v>
      </c>
      <c r="AD214">
        <v>1</v>
      </c>
      <c r="AE214">
        <v>0</v>
      </c>
      <c r="AF214" t="s">
        <v>3</v>
      </c>
      <c r="AG214">
        <v>0.01</v>
      </c>
      <c r="AH214">
        <v>3</v>
      </c>
      <c r="AI214">
        <v>-1</v>
      </c>
      <c r="AJ214" t="s">
        <v>3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</row>
    <row r="215" spans="1:44" x14ac:dyDescent="0.2">
      <c r="A215">
        <f>ROW(Source!A412)</f>
        <v>412</v>
      </c>
      <c r="B215">
        <v>1471741947</v>
      </c>
      <c r="C215">
        <v>1471663921</v>
      </c>
      <c r="D215">
        <v>1441838748</v>
      </c>
      <c r="E215">
        <v>1</v>
      </c>
      <c r="F215">
        <v>1</v>
      </c>
      <c r="G215">
        <v>15514512</v>
      </c>
      <c r="H215">
        <v>3</v>
      </c>
      <c r="I215" t="s">
        <v>458</v>
      </c>
      <c r="J215" t="s">
        <v>459</v>
      </c>
      <c r="K215" t="s">
        <v>460</v>
      </c>
      <c r="L215">
        <v>1327</v>
      </c>
      <c r="N215">
        <v>1005</v>
      </c>
      <c r="O215" t="s">
        <v>461</v>
      </c>
      <c r="P215" t="s">
        <v>461</v>
      </c>
      <c r="Q215">
        <v>1</v>
      </c>
      <c r="X215">
        <v>1.0999999999999999E-2</v>
      </c>
      <c r="Y215">
        <v>208.99</v>
      </c>
      <c r="Z215">
        <v>0</v>
      </c>
      <c r="AA215">
        <v>0</v>
      </c>
      <c r="AB215">
        <v>0</v>
      </c>
      <c r="AC215">
        <v>0</v>
      </c>
      <c r="AD215">
        <v>1</v>
      </c>
      <c r="AE215">
        <v>0</v>
      </c>
      <c r="AF215" t="s">
        <v>3</v>
      </c>
      <c r="AG215">
        <v>1.0999999999999999E-2</v>
      </c>
      <c r="AH215">
        <v>3</v>
      </c>
      <c r="AI215">
        <v>-1</v>
      </c>
      <c r="AJ215" t="s">
        <v>3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</row>
    <row r="216" spans="1:44" x14ac:dyDescent="0.2">
      <c r="A216">
        <f>ROW(Source!A412)</f>
        <v>412</v>
      </c>
      <c r="B216">
        <v>1471741944</v>
      </c>
      <c r="C216">
        <v>1471663921</v>
      </c>
      <c r="D216">
        <v>1441822228</v>
      </c>
      <c r="E216">
        <v>15514512</v>
      </c>
      <c r="F216">
        <v>1</v>
      </c>
      <c r="G216">
        <v>15514512</v>
      </c>
      <c r="H216">
        <v>3</v>
      </c>
      <c r="I216" t="s">
        <v>451</v>
      </c>
      <c r="J216" t="s">
        <v>3</v>
      </c>
      <c r="K216" t="s">
        <v>452</v>
      </c>
      <c r="L216">
        <v>1346</v>
      </c>
      <c r="N216">
        <v>1009</v>
      </c>
      <c r="O216" t="s">
        <v>411</v>
      </c>
      <c r="P216" t="s">
        <v>411</v>
      </c>
      <c r="Q216">
        <v>1</v>
      </c>
      <c r="X216">
        <v>2.3E-2</v>
      </c>
      <c r="Y216">
        <v>73.951729999999998</v>
      </c>
      <c r="Z216">
        <v>0</v>
      </c>
      <c r="AA216">
        <v>0</v>
      </c>
      <c r="AB216">
        <v>0</v>
      </c>
      <c r="AC216">
        <v>0</v>
      </c>
      <c r="AD216">
        <v>1</v>
      </c>
      <c r="AE216">
        <v>0</v>
      </c>
      <c r="AF216" t="s">
        <v>3</v>
      </c>
      <c r="AG216">
        <v>2.3E-2</v>
      </c>
      <c r="AH216">
        <v>3</v>
      </c>
      <c r="AI216">
        <v>-1</v>
      </c>
      <c r="AJ216" t="s">
        <v>3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</row>
    <row r="217" spans="1:44" x14ac:dyDescent="0.2">
      <c r="A217">
        <f>ROW(Source!A412)</f>
        <v>412</v>
      </c>
      <c r="B217">
        <v>1471741948</v>
      </c>
      <c r="C217">
        <v>1471663921</v>
      </c>
      <c r="D217">
        <v>1441834920</v>
      </c>
      <c r="E217">
        <v>1</v>
      </c>
      <c r="F217">
        <v>1</v>
      </c>
      <c r="G217">
        <v>15514512</v>
      </c>
      <c r="H217">
        <v>3</v>
      </c>
      <c r="I217" t="s">
        <v>453</v>
      </c>
      <c r="J217" t="s">
        <v>454</v>
      </c>
      <c r="K217" t="s">
        <v>455</v>
      </c>
      <c r="L217">
        <v>1346</v>
      </c>
      <c r="N217">
        <v>1009</v>
      </c>
      <c r="O217" t="s">
        <v>411</v>
      </c>
      <c r="P217" t="s">
        <v>411</v>
      </c>
      <c r="Q217">
        <v>1</v>
      </c>
      <c r="X217">
        <v>1.9E-2</v>
      </c>
      <c r="Y217">
        <v>106.87</v>
      </c>
      <c r="Z217">
        <v>0</v>
      </c>
      <c r="AA217">
        <v>0</v>
      </c>
      <c r="AB217">
        <v>0</v>
      </c>
      <c r="AC217">
        <v>0</v>
      </c>
      <c r="AD217">
        <v>1</v>
      </c>
      <c r="AE217">
        <v>0</v>
      </c>
      <c r="AF217" t="s">
        <v>3</v>
      </c>
      <c r="AG217">
        <v>1.9E-2</v>
      </c>
      <c r="AH217">
        <v>3</v>
      </c>
      <c r="AI217">
        <v>-1</v>
      </c>
      <c r="AJ217" t="s">
        <v>3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</row>
    <row r="218" spans="1:44" x14ac:dyDescent="0.2">
      <c r="A218">
        <f>ROW(Source!A413)</f>
        <v>413</v>
      </c>
      <c r="B218">
        <v>1471741974</v>
      </c>
      <c r="C218">
        <v>1471663940</v>
      </c>
      <c r="D218">
        <v>1441819193</v>
      </c>
      <c r="E218">
        <v>15514512</v>
      </c>
      <c r="F218">
        <v>1</v>
      </c>
      <c r="G218">
        <v>15514512</v>
      </c>
      <c r="H218">
        <v>1</v>
      </c>
      <c r="I218" t="s">
        <v>401</v>
      </c>
      <c r="J218" t="s">
        <v>3</v>
      </c>
      <c r="K218" t="s">
        <v>402</v>
      </c>
      <c r="L218">
        <v>1191</v>
      </c>
      <c r="N218">
        <v>1013</v>
      </c>
      <c r="O218" t="s">
        <v>403</v>
      </c>
      <c r="P218" t="s">
        <v>403</v>
      </c>
      <c r="Q218">
        <v>1</v>
      </c>
      <c r="X218">
        <v>0.3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1</v>
      </c>
      <c r="AE218">
        <v>1</v>
      </c>
      <c r="AF218" t="s">
        <v>42</v>
      </c>
      <c r="AG218">
        <v>0.6</v>
      </c>
      <c r="AH218">
        <v>3</v>
      </c>
      <c r="AI218">
        <v>-1</v>
      </c>
      <c r="AJ218" t="s">
        <v>3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</row>
    <row r="219" spans="1:44" x14ac:dyDescent="0.2">
      <c r="A219">
        <f>ROW(Source!A413)</f>
        <v>413</v>
      </c>
      <c r="B219">
        <v>1471741975</v>
      </c>
      <c r="C219">
        <v>1471663940</v>
      </c>
      <c r="D219">
        <v>1441836235</v>
      </c>
      <c r="E219">
        <v>1</v>
      </c>
      <c r="F219">
        <v>1</v>
      </c>
      <c r="G219">
        <v>15514512</v>
      </c>
      <c r="H219">
        <v>3</v>
      </c>
      <c r="I219" t="s">
        <v>408</v>
      </c>
      <c r="J219" t="s">
        <v>409</v>
      </c>
      <c r="K219" t="s">
        <v>410</v>
      </c>
      <c r="L219">
        <v>1346</v>
      </c>
      <c r="N219">
        <v>1009</v>
      </c>
      <c r="O219" t="s">
        <v>411</v>
      </c>
      <c r="P219" t="s">
        <v>411</v>
      </c>
      <c r="Q219">
        <v>1</v>
      </c>
      <c r="X219">
        <v>0.05</v>
      </c>
      <c r="Y219">
        <v>31.49</v>
      </c>
      <c r="Z219">
        <v>0</v>
      </c>
      <c r="AA219">
        <v>0</v>
      </c>
      <c r="AB219">
        <v>0</v>
      </c>
      <c r="AC219">
        <v>0</v>
      </c>
      <c r="AD219">
        <v>1</v>
      </c>
      <c r="AE219">
        <v>0</v>
      </c>
      <c r="AF219" t="s">
        <v>42</v>
      </c>
      <c r="AG219">
        <v>0.1</v>
      </c>
      <c r="AH219">
        <v>3</v>
      </c>
      <c r="AI219">
        <v>-1</v>
      </c>
      <c r="AJ219" t="s">
        <v>3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</row>
    <row r="220" spans="1:44" x14ac:dyDescent="0.2">
      <c r="A220">
        <f>ROW(Source!A413)</f>
        <v>413</v>
      </c>
      <c r="B220">
        <v>1471741976</v>
      </c>
      <c r="C220">
        <v>1471663940</v>
      </c>
      <c r="D220">
        <v>1441834628</v>
      </c>
      <c r="E220">
        <v>1</v>
      </c>
      <c r="F220">
        <v>1</v>
      </c>
      <c r="G220">
        <v>15514512</v>
      </c>
      <c r="H220">
        <v>3</v>
      </c>
      <c r="I220" t="s">
        <v>451</v>
      </c>
      <c r="J220" t="s">
        <v>462</v>
      </c>
      <c r="K220" t="s">
        <v>452</v>
      </c>
      <c r="L220">
        <v>1348</v>
      </c>
      <c r="N220">
        <v>1009</v>
      </c>
      <c r="O220" t="s">
        <v>426</v>
      </c>
      <c r="P220" t="s">
        <v>426</v>
      </c>
      <c r="Q220">
        <v>1000</v>
      </c>
      <c r="X220">
        <v>4.0000000000000003E-5</v>
      </c>
      <c r="Y220">
        <v>73951.73</v>
      </c>
      <c r="Z220">
        <v>0</v>
      </c>
      <c r="AA220">
        <v>0</v>
      </c>
      <c r="AB220">
        <v>0</v>
      </c>
      <c r="AC220">
        <v>0</v>
      </c>
      <c r="AD220">
        <v>1</v>
      </c>
      <c r="AE220">
        <v>0</v>
      </c>
      <c r="AF220" t="s">
        <v>42</v>
      </c>
      <c r="AG220">
        <v>8.0000000000000007E-5</v>
      </c>
      <c r="AH220">
        <v>3</v>
      </c>
      <c r="AI220">
        <v>-1</v>
      </c>
      <c r="AJ220" t="s">
        <v>3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</row>
    <row r="221" spans="1:44" x14ac:dyDescent="0.2">
      <c r="A221">
        <f>ROW(Source!A414)</f>
        <v>414</v>
      </c>
      <c r="B221">
        <v>1471741996</v>
      </c>
      <c r="C221">
        <v>1471663950</v>
      </c>
      <c r="D221">
        <v>1441819193</v>
      </c>
      <c r="E221">
        <v>15514512</v>
      </c>
      <c r="F221">
        <v>1</v>
      </c>
      <c r="G221">
        <v>15514512</v>
      </c>
      <c r="H221">
        <v>1</v>
      </c>
      <c r="I221" t="s">
        <v>401</v>
      </c>
      <c r="J221" t="s">
        <v>3</v>
      </c>
      <c r="K221" t="s">
        <v>402</v>
      </c>
      <c r="L221">
        <v>1191</v>
      </c>
      <c r="N221">
        <v>1013</v>
      </c>
      <c r="O221" t="s">
        <v>403</v>
      </c>
      <c r="P221" t="s">
        <v>403</v>
      </c>
      <c r="Q221">
        <v>1</v>
      </c>
      <c r="X221">
        <v>0.04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1</v>
      </c>
      <c r="AE221">
        <v>1</v>
      </c>
      <c r="AF221" t="s">
        <v>163</v>
      </c>
      <c r="AG221">
        <v>0.12</v>
      </c>
      <c r="AH221">
        <v>3</v>
      </c>
      <c r="AI221">
        <v>-1</v>
      </c>
      <c r="AJ221" t="s">
        <v>3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</row>
    <row r="222" spans="1:44" x14ac:dyDescent="0.2">
      <c r="A222">
        <f>ROW(Source!A414)</f>
        <v>414</v>
      </c>
      <c r="B222">
        <v>1471741997</v>
      </c>
      <c r="C222">
        <v>1471663950</v>
      </c>
      <c r="D222">
        <v>1441836235</v>
      </c>
      <c r="E222">
        <v>1</v>
      </c>
      <c r="F222">
        <v>1</v>
      </c>
      <c r="G222">
        <v>15514512</v>
      </c>
      <c r="H222">
        <v>3</v>
      </c>
      <c r="I222" t="s">
        <v>408</v>
      </c>
      <c r="J222" t="s">
        <v>409</v>
      </c>
      <c r="K222" t="s">
        <v>410</v>
      </c>
      <c r="L222">
        <v>1346</v>
      </c>
      <c r="N222">
        <v>1009</v>
      </c>
      <c r="O222" t="s">
        <v>411</v>
      </c>
      <c r="P222" t="s">
        <v>411</v>
      </c>
      <c r="Q222">
        <v>1</v>
      </c>
      <c r="X222">
        <v>2.0000000000000001E-4</v>
      </c>
      <c r="Y222">
        <v>31.49</v>
      </c>
      <c r="Z222">
        <v>0</v>
      </c>
      <c r="AA222">
        <v>0</v>
      </c>
      <c r="AB222">
        <v>0</v>
      </c>
      <c r="AC222">
        <v>0</v>
      </c>
      <c r="AD222">
        <v>1</v>
      </c>
      <c r="AE222">
        <v>0</v>
      </c>
      <c r="AF222" t="s">
        <v>163</v>
      </c>
      <c r="AG222">
        <v>6.0000000000000006E-4</v>
      </c>
      <c r="AH222">
        <v>3</v>
      </c>
      <c r="AI222">
        <v>-1</v>
      </c>
      <c r="AJ222" t="s">
        <v>3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</row>
    <row r="223" spans="1:44" x14ac:dyDescent="0.2">
      <c r="A223">
        <f>ROW(Source!A415)</f>
        <v>415</v>
      </c>
      <c r="B223">
        <v>1471742090</v>
      </c>
      <c r="C223">
        <v>1471663957</v>
      </c>
      <c r="D223">
        <v>1441819193</v>
      </c>
      <c r="E223">
        <v>15514512</v>
      </c>
      <c r="F223">
        <v>1</v>
      </c>
      <c r="G223">
        <v>15514512</v>
      </c>
      <c r="H223">
        <v>1</v>
      </c>
      <c r="I223" t="s">
        <v>401</v>
      </c>
      <c r="J223" t="s">
        <v>3</v>
      </c>
      <c r="K223" t="s">
        <v>402</v>
      </c>
      <c r="L223">
        <v>1191</v>
      </c>
      <c r="N223">
        <v>1013</v>
      </c>
      <c r="O223" t="s">
        <v>403</v>
      </c>
      <c r="P223" t="s">
        <v>403</v>
      </c>
      <c r="Q223">
        <v>1</v>
      </c>
      <c r="X223">
        <v>1.2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1</v>
      </c>
      <c r="AE223">
        <v>1</v>
      </c>
      <c r="AF223" t="s">
        <v>3</v>
      </c>
      <c r="AG223">
        <v>1.2</v>
      </c>
      <c r="AH223">
        <v>3</v>
      </c>
      <c r="AI223">
        <v>-1</v>
      </c>
      <c r="AJ223" t="s">
        <v>3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</row>
    <row r="224" spans="1:44" x14ac:dyDescent="0.2">
      <c r="A224">
        <f>ROW(Source!A415)</f>
        <v>415</v>
      </c>
      <c r="B224">
        <v>1471742092</v>
      </c>
      <c r="C224">
        <v>1471663957</v>
      </c>
      <c r="D224">
        <v>1441836235</v>
      </c>
      <c r="E224">
        <v>1</v>
      </c>
      <c r="F224">
        <v>1</v>
      </c>
      <c r="G224">
        <v>15514512</v>
      </c>
      <c r="H224">
        <v>3</v>
      </c>
      <c r="I224" t="s">
        <v>408</v>
      </c>
      <c r="J224" t="s">
        <v>409</v>
      </c>
      <c r="K224" t="s">
        <v>410</v>
      </c>
      <c r="L224">
        <v>1346</v>
      </c>
      <c r="N224">
        <v>1009</v>
      </c>
      <c r="O224" t="s">
        <v>411</v>
      </c>
      <c r="P224" t="s">
        <v>411</v>
      </c>
      <c r="Q224">
        <v>1</v>
      </c>
      <c r="X224">
        <v>7.0000000000000001E-3</v>
      </c>
      <c r="Y224">
        <v>31.49</v>
      </c>
      <c r="Z224">
        <v>0</v>
      </c>
      <c r="AA224">
        <v>0</v>
      </c>
      <c r="AB224">
        <v>0</v>
      </c>
      <c r="AC224">
        <v>0</v>
      </c>
      <c r="AD224">
        <v>1</v>
      </c>
      <c r="AE224">
        <v>0</v>
      </c>
      <c r="AF224" t="s">
        <v>3</v>
      </c>
      <c r="AG224">
        <v>7.0000000000000001E-3</v>
      </c>
      <c r="AH224">
        <v>3</v>
      </c>
      <c r="AI224">
        <v>-1</v>
      </c>
      <c r="AJ224" t="s">
        <v>3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</row>
    <row r="225" spans="1:44" x14ac:dyDescent="0.2">
      <c r="A225">
        <f>ROW(Source!A415)</f>
        <v>415</v>
      </c>
      <c r="B225">
        <v>1471742093</v>
      </c>
      <c r="C225">
        <v>1471663957</v>
      </c>
      <c r="D225">
        <v>1441834628</v>
      </c>
      <c r="E225">
        <v>1</v>
      </c>
      <c r="F225">
        <v>1</v>
      </c>
      <c r="G225">
        <v>15514512</v>
      </c>
      <c r="H225">
        <v>3</v>
      </c>
      <c r="I225" t="s">
        <v>451</v>
      </c>
      <c r="J225" t="s">
        <v>462</v>
      </c>
      <c r="K225" t="s">
        <v>452</v>
      </c>
      <c r="L225">
        <v>1348</v>
      </c>
      <c r="N225">
        <v>1009</v>
      </c>
      <c r="O225" t="s">
        <v>426</v>
      </c>
      <c r="P225" t="s">
        <v>426</v>
      </c>
      <c r="Q225">
        <v>1000</v>
      </c>
      <c r="X225">
        <v>2.0000000000000002E-5</v>
      </c>
      <c r="Y225">
        <v>73951.73</v>
      </c>
      <c r="Z225">
        <v>0</v>
      </c>
      <c r="AA225">
        <v>0</v>
      </c>
      <c r="AB225">
        <v>0</v>
      </c>
      <c r="AC225">
        <v>0</v>
      </c>
      <c r="AD225">
        <v>1</v>
      </c>
      <c r="AE225">
        <v>0</v>
      </c>
      <c r="AF225" t="s">
        <v>3</v>
      </c>
      <c r="AG225">
        <v>2.0000000000000002E-5</v>
      </c>
      <c r="AH225">
        <v>3</v>
      </c>
      <c r="AI225">
        <v>-1</v>
      </c>
      <c r="AJ225" t="s">
        <v>3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</row>
    <row r="226" spans="1:44" x14ac:dyDescent="0.2">
      <c r="A226">
        <f>ROW(Source!A416)</f>
        <v>416</v>
      </c>
      <c r="B226">
        <v>1471742203</v>
      </c>
      <c r="C226">
        <v>1471663967</v>
      </c>
      <c r="D226">
        <v>1441819193</v>
      </c>
      <c r="E226">
        <v>15514512</v>
      </c>
      <c r="F226">
        <v>1</v>
      </c>
      <c r="G226">
        <v>15514512</v>
      </c>
      <c r="H226">
        <v>1</v>
      </c>
      <c r="I226" t="s">
        <v>401</v>
      </c>
      <c r="J226" t="s">
        <v>3</v>
      </c>
      <c r="K226" t="s">
        <v>402</v>
      </c>
      <c r="L226">
        <v>1191</v>
      </c>
      <c r="N226">
        <v>1013</v>
      </c>
      <c r="O226" t="s">
        <v>403</v>
      </c>
      <c r="P226" t="s">
        <v>403</v>
      </c>
      <c r="Q226">
        <v>1</v>
      </c>
      <c r="X226">
        <v>0.04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1</v>
      </c>
      <c r="AE226">
        <v>1</v>
      </c>
      <c r="AF226" t="s">
        <v>163</v>
      </c>
      <c r="AG226">
        <v>0.12</v>
      </c>
      <c r="AH226">
        <v>3</v>
      </c>
      <c r="AI226">
        <v>-1</v>
      </c>
      <c r="AJ226" t="s">
        <v>3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</row>
    <row r="227" spans="1:44" x14ac:dyDescent="0.2">
      <c r="A227">
        <f>ROW(Source!A416)</f>
        <v>416</v>
      </c>
      <c r="B227">
        <v>1471742204</v>
      </c>
      <c r="C227">
        <v>1471663967</v>
      </c>
      <c r="D227">
        <v>1441836235</v>
      </c>
      <c r="E227">
        <v>1</v>
      </c>
      <c r="F227">
        <v>1</v>
      </c>
      <c r="G227">
        <v>15514512</v>
      </c>
      <c r="H227">
        <v>3</v>
      </c>
      <c r="I227" t="s">
        <v>408</v>
      </c>
      <c r="J227" t="s">
        <v>409</v>
      </c>
      <c r="K227" t="s">
        <v>410</v>
      </c>
      <c r="L227">
        <v>1346</v>
      </c>
      <c r="N227">
        <v>1009</v>
      </c>
      <c r="O227" t="s">
        <v>411</v>
      </c>
      <c r="P227" t="s">
        <v>411</v>
      </c>
      <c r="Q227">
        <v>1</v>
      </c>
      <c r="X227">
        <v>2.0000000000000001E-4</v>
      </c>
      <c r="Y227">
        <v>31.49</v>
      </c>
      <c r="Z227">
        <v>0</v>
      </c>
      <c r="AA227">
        <v>0</v>
      </c>
      <c r="AB227">
        <v>0</v>
      </c>
      <c r="AC227">
        <v>0</v>
      </c>
      <c r="AD227">
        <v>1</v>
      </c>
      <c r="AE227">
        <v>0</v>
      </c>
      <c r="AF227" t="s">
        <v>163</v>
      </c>
      <c r="AG227">
        <v>6.0000000000000006E-4</v>
      </c>
      <c r="AH227">
        <v>3</v>
      </c>
      <c r="AI227">
        <v>-1</v>
      </c>
      <c r="AJ227" t="s">
        <v>3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</row>
    <row r="228" spans="1:44" x14ac:dyDescent="0.2">
      <c r="A228">
        <f>ROW(Source!A417)</f>
        <v>417</v>
      </c>
      <c r="B228">
        <v>1471742331</v>
      </c>
      <c r="C228">
        <v>1471663996</v>
      </c>
      <c r="D228">
        <v>1441819193</v>
      </c>
      <c r="E228">
        <v>15514512</v>
      </c>
      <c r="F228">
        <v>1</v>
      </c>
      <c r="G228">
        <v>15514512</v>
      </c>
      <c r="H228">
        <v>1</v>
      </c>
      <c r="I228" t="s">
        <v>401</v>
      </c>
      <c r="J228" t="s">
        <v>3</v>
      </c>
      <c r="K228" t="s">
        <v>402</v>
      </c>
      <c r="L228">
        <v>1191</v>
      </c>
      <c r="N228">
        <v>1013</v>
      </c>
      <c r="O228" t="s">
        <v>403</v>
      </c>
      <c r="P228" t="s">
        <v>403</v>
      </c>
      <c r="Q228">
        <v>1</v>
      </c>
      <c r="X228">
        <v>1.2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1</v>
      </c>
      <c r="AE228">
        <v>1</v>
      </c>
      <c r="AF228" t="s">
        <v>3</v>
      </c>
      <c r="AG228">
        <v>1.2</v>
      </c>
      <c r="AH228">
        <v>3</v>
      </c>
      <c r="AI228">
        <v>-1</v>
      </c>
      <c r="AJ228" t="s">
        <v>3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</row>
    <row r="229" spans="1:44" x14ac:dyDescent="0.2">
      <c r="A229">
        <f>ROW(Source!A417)</f>
        <v>417</v>
      </c>
      <c r="B229">
        <v>1471742332</v>
      </c>
      <c r="C229">
        <v>1471663996</v>
      </c>
      <c r="D229">
        <v>1441836235</v>
      </c>
      <c r="E229">
        <v>1</v>
      </c>
      <c r="F229">
        <v>1</v>
      </c>
      <c r="G229">
        <v>15514512</v>
      </c>
      <c r="H229">
        <v>3</v>
      </c>
      <c r="I229" t="s">
        <v>408</v>
      </c>
      <c r="J229" t="s">
        <v>409</v>
      </c>
      <c r="K229" t="s">
        <v>410</v>
      </c>
      <c r="L229">
        <v>1346</v>
      </c>
      <c r="N229">
        <v>1009</v>
      </c>
      <c r="O229" t="s">
        <v>411</v>
      </c>
      <c r="P229" t="s">
        <v>411</v>
      </c>
      <c r="Q229">
        <v>1</v>
      </c>
      <c r="X229">
        <v>7.0000000000000001E-3</v>
      </c>
      <c r="Y229">
        <v>31.49</v>
      </c>
      <c r="Z229">
        <v>0</v>
      </c>
      <c r="AA229">
        <v>0</v>
      </c>
      <c r="AB229">
        <v>0</v>
      </c>
      <c r="AC229">
        <v>0</v>
      </c>
      <c r="AD229">
        <v>1</v>
      </c>
      <c r="AE229">
        <v>0</v>
      </c>
      <c r="AF229" t="s">
        <v>3</v>
      </c>
      <c r="AG229">
        <v>7.0000000000000001E-3</v>
      </c>
      <c r="AH229">
        <v>3</v>
      </c>
      <c r="AI229">
        <v>-1</v>
      </c>
      <c r="AJ229" t="s">
        <v>3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</row>
    <row r="230" spans="1:44" x14ac:dyDescent="0.2">
      <c r="A230">
        <f>ROW(Source!A417)</f>
        <v>417</v>
      </c>
      <c r="B230">
        <v>1471742333</v>
      </c>
      <c r="C230">
        <v>1471663996</v>
      </c>
      <c r="D230">
        <v>1441834628</v>
      </c>
      <c r="E230">
        <v>1</v>
      </c>
      <c r="F230">
        <v>1</v>
      </c>
      <c r="G230">
        <v>15514512</v>
      </c>
      <c r="H230">
        <v>3</v>
      </c>
      <c r="I230" t="s">
        <v>451</v>
      </c>
      <c r="J230" t="s">
        <v>462</v>
      </c>
      <c r="K230" t="s">
        <v>452</v>
      </c>
      <c r="L230">
        <v>1348</v>
      </c>
      <c r="N230">
        <v>1009</v>
      </c>
      <c r="O230" t="s">
        <v>426</v>
      </c>
      <c r="P230" t="s">
        <v>426</v>
      </c>
      <c r="Q230">
        <v>1000</v>
      </c>
      <c r="X230">
        <v>2.0000000000000002E-5</v>
      </c>
      <c r="Y230">
        <v>73951.73</v>
      </c>
      <c r="Z230">
        <v>0</v>
      </c>
      <c r="AA230">
        <v>0</v>
      </c>
      <c r="AB230">
        <v>0</v>
      </c>
      <c r="AC230">
        <v>0</v>
      </c>
      <c r="AD230">
        <v>1</v>
      </c>
      <c r="AE230">
        <v>0</v>
      </c>
      <c r="AF230" t="s">
        <v>3</v>
      </c>
      <c r="AG230">
        <v>2.0000000000000002E-5</v>
      </c>
      <c r="AH230">
        <v>3</v>
      </c>
      <c r="AI230">
        <v>-1</v>
      </c>
      <c r="AJ230" t="s">
        <v>3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</row>
    <row r="231" spans="1:44" x14ac:dyDescent="0.2">
      <c r="A231">
        <f>ROW(Source!A418)</f>
        <v>418</v>
      </c>
      <c r="B231">
        <v>1471742334</v>
      </c>
      <c r="C231">
        <v>1471664007</v>
      </c>
      <c r="D231">
        <v>1441819193</v>
      </c>
      <c r="E231">
        <v>15514512</v>
      </c>
      <c r="F231">
        <v>1</v>
      </c>
      <c r="G231">
        <v>15514512</v>
      </c>
      <c r="H231">
        <v>1</v>
      </c>
      <c r="I231" t="s">
        <v>401</v>
      </c>
      <c r="J231" t="s">
        <v>3</v>
      </c>
      <c r="K231" t="s">
        <v>402</v>
      </c>
      <c r="L231">
        <v>1191</v>
      </c>
      <c r="N231">
        <v>1013</v>
      </c>
      <c r="O231" t="s">
        <v>403</v>
      </c>
      <c r="P231" t="s">
        <v>403</v>
      </c>
      <c r="Q231">
        <v>1</v>
      </c>
      <c r="X231">
        <v>0.3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1</v>
      </c>
      <c r="AE231">
        <v>1</v>
      </c>
      <c r="AF231" t="s">
        <v>42</v>
      </c>
      <c r="AG231">
        <v>0.6</v>
      </c>
      <c r="AH231">
        <v>3</v>
      </c>
      <c r="AI231">
        <v>-1</v>
      </c>
      <c r="AJ231" t="s">
        <v>3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</row>
    <row r="232" spans="1:44" x14ac:dyDescent="0.2">
      <c r="A232">
        <f>ROW(Source!A418)</f>
        <v>418</v>
      </c>
      <c r="B232">
        <v>1471742335</v>
      </c>
      <c r="C232">
        <v>1471664007</v>
      </c>
      <c r="D232">
        <v>1441836235</v>
      </c>
      <c r="E232">
        <v>1</v>
      </c>
      <c r="F232">
        <v>1</v>
      </c>
      <c r="G232">
        <v>15514512</v>
      </c>
      <c r="H232">
        <v>3</v>
      </c>
      <c r="I232" t="s">
        <v>408</v>
      </c>
      <c r="J232" t="s">
        <v>409</v>
      </c>
      <c r="K232" t="s">
        <v>410</v>
      </c>
      <c r="L232">
        <v>1346</v>
      </c>
      <c r="N232">
        <v>1009</v>
      </c>
      <c r="O232" t="s">
        <v>411</v>
      </c>
      <c r="P232" t="s">
        <v>411</v>
      </c>
      <c r="Q232">
        <v>1</v>
      </c>
      <c r="X232">
        <v>0.05</v>
      </c>
      <c r="Y232">
        <v>31.49</v>
      </c>
      <c r="Z232">
        <v>0</v>
      </c>
      <c r="AA232">
        <v>0</v>
      </c>
      <c r="AB232">
        <v>0</v>
      </c>
      <c r="AC232">
        <v>0</v>
      </c>
      <c r="AD232">
        <v>1</v>
      </c>
      <c r="AE232">
        <v>0</v>
      </c>
      <c r="AF232" t="s">
        <v>42</v>
      </c>
      <c r="AG232">
        <v>0.1</v>
      </c>
      <c r="AH232">
        <v>3</v>
      </c>
      <c r="AI232">
        <v>-1</v>
      </c>
      <c r="AJ232" t="s">
        <v>3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</row>
    <row r="233" spans="1:44" x14ac:dyDescent="0.2">
      <c r="A233">
        <f>ROW(Source!A418)</f>
        <v>418</v>
      </c>
      <c r="B233">
        <v>1471742336</v>
      </c>
      <c r="C233">
        <v>1471664007</v>
      </c>
      <c r="D233">
        <v>1441834628</v>
      </c>
      <c r="E233">
        <v>1</v>
      </c>
      <c r="F233">
        <v>1</v>
      </c>
      <c r="G233">
        <v>15514512</v>
      </c>
      <c r="H233">
        <v>3</v>
      </c>
      <c r="I233" t="s">
        <v>451</v>
      </c>
      <c r="J233" t="s">
        <v>462</v>
      </c>
      <c r="K233" t="s">
        <v>452</v>
      </c>
      <c r="L233">
        <v>1348</v>
      </c>
      <c r="N233">
        <v>1009</v>
      </c>
      <c r="O233" t="s">
        <v>426</v>
      </c>
      <c r="P233" t="s">
        <v>426</v>
      </c>
      <c r="Q233">
        <v>1000</v>
      </c>
      <c r="X233">
        <v>4.0000000000000003E-5</v>
      </c>
      <c r="Y233">
        <v>73951.73</v>
      </c>
      <c r="Z233">
        <v>0</v>
      </c>
      <c r="AA233">
        <v>0</v>
      </c>
      <c r="AB233">
        <v>0</v>
      </c>
      <c r="AC233">
        <v>0</v>
      </c>
      <c r="AD233">
        <v>1</v>
      </c>
      <c r="AE233">
        <v>0</v>
      </c>
      <c r="AF233" t="s">
        <v>42</v>
      </c>
      <c r="AG233">
        <v>8.0000000000000007E-5</v>
      </c>
      <c r="AH233">
        <v>3</v>
      </c>
      <c r="AI233">
        <v>-1</v>
      </c>
      <c r="AJ233" t="s">
        <v>3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</row>
    <row r="234" spans="1:44" x14ac:dyDescent="0.2">
      <c r="A234">
        <f>ROW(Source!A420)</f>
        <v>420</v>
      </c>
      <c r="B234">
        <v>1471742394</v>
      </c>
      <c r="C234">
        <v>1471664023</v>
      </c>
      <c r="D234">
        <v>1441819193</v>
      </c>
      <c r="E234">
        <v>15514512</v>
      </c>
      <c r="F234">
        <v>1</v>
      </c>
      <c r="G234">
        <v>15514512</v>
      </c>
      <c r="H234">
        <v>1</v>
      </c>
      <c r="I234" t="s">
        <v>401</v>
      </c>
      <c r="J234" t="s">
        <v>3</v>
      </c>
      <c r="K234" t="s">
        <v>402</v>
      </c>
      <c r="L234">
        <v>1191</v>
      </c>
      <c r="N234">
        <v>1013</v>
      </c>
      <c r="O234" t="s">
        <v>403</v>
      </c>
      <c r="P234" t="s">
        <v>403</v>
      </c>
      <c r="Q234">
        <v>1</v>
      </c>
      <c r="X234">
        <v>0.4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1</v>
      </c>
      <c r="AE234">
        <v>1</v>
      </c>
      <c r="AF234" t="s">
        <v>231</v>
      </c>
      <c r="AG234">
        <v>0.41600000000000004</v>
      </c>
      <c r="AH234">
        <v>3</v>
      </c>
      <c r="AI234">
        <v>-1</v>
      </c>
      <c r="AJ234" t="s">
        <v>3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</row>
    <row r="235" spans="1:44" x14ac:dyDescent="0.2">
      <c r="A235">
        <f>ROW(Source!A420)</f>
        <v>420</v>
      </c>
      <c r="B235">
        <v>1471742395</v>
      </c>
      <c r="C235">
        <v>1471664023</v>
      </c>
      <c r="D235">
        <v>1441836235</v>
      </c>
      <c r="E235">
        <v>1</v>
      </c>
      <c r="F235">
        <v>1</v>
      </c>
      <c r="G235">
        <v>15514512</v>
      </c>
      <c r="H235">
        <v>3</v>
      </c>
      <c r="I235" t="s">
        <v>408</v>
      </c>
      <c r="J235" t="s">
        <v>409</v>
      </c>
      <c r="K235" t="s">
        <v>410</v>
      </c>
      <c r="L235">
        <v>1346</v>
      </c>
      <c r="N235">
        <v>1009</v>
      </c>
      <c r="O235" t="s">
        <v>411</v>
      </c>
      <c r="P235" t="s">
        <v>411</v>
      </c>
      <c r="Q235">
        <v>1</v>
      </c>
      <c r="X235">
        <v>0.04</v>
      </c>
      <c r="Y235">
        <v>31.49</v>
      </c>
      <c r="Z235">
        <v>0</v>
      </c>
      <c r="AA235">
        <v>0</v>
      </c>
      <c r="AB235">
        <v>0</v>
      </c>
      <c r="AC235">
        <v>0</v>
      </c>
      <c r="AD235">
        <v>1</v>
      </c>
      <c r="AE235">
        <v>0</v>
      </c>
      <c r="AF235" t="s">
        <v>3</v>
      </c>
      <c r="AG235">
        <v>0.04</v>
      </c>
      <c r="AH235">
        <v>3</v>
      </c>
      <c r="AI235">
        <v>-1</v>
      </c>
      <c r="AJ235" t="s">
        <v>3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</row>
    <row r="236" spans="1:44" x14ac:dyDescent="0.2">
      <c r="A236">
        <f>ROW(Source!A421)</f>
        <v>421</v>
      </c>
      <c r="B236">
        <v>1471742396</v>
      </c>
      <c r="C236">
        <v>1471664030</v>
      </c>
      <c r="D236">
        <v>1441819193</v>
      </c>
      <c r="E236">
        <v>15514512</v>
      </c>
      <c r="F236">
        <v>1</v>
      </c>
      <c r="G236">
        <v>15514512</v>
      </c>
      <c r="H236">
        <v>1</v>
      </c>
      <c r="I236" t="s">
        <v>401</v>
      </c>
      <c r="J236" t="s">
        <v>3</v>
      </c>
      <c r="K236" t="s">
        <v>402</v>
      </c>
      <c r="L236">
        <v>1191</v>
      </c>
      <c r="N236">
        <v>1013</v>
      </c>
      <c r="O236" t="s">
        <v>403</v>
      </c>
      <c r="P236" t="s">
        <v>403</v>
      </c>
      <c r="Q236">
        <v>1</v>
      </c>
      <c r="X236">
        <v>0.18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1</v>
      </c>
      <c r="AE236">
        <v>1</v>
      </c>
      <c r="AF236" t="s">
        <v>231</v>
      </c>
      <c r="AG236">
        <v>0.18720000000000001</v>
      </c>
      <c r="AH236">
        <v>3</v>
      </c>
      <c r="AI236">
        <v>-1</v>
      </c>
      <c r="AJ236" t="s">
        <v>3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</row>
    <row r="237" spans="1:44" x14ac:dyDescent="0.2">
      <c r="A237">
        <f>ROW(Source!A421)</f>
        <v>421</v>
      </c>
      <c r="B237">
        <v>1471742397</v>
      </c>
      <c r="C237">
        <v>1471664030</v>
      </c>
      <c r="D237">
        <v>1441836235</v>
      </c>
      <c r="E237">
        <v>1</v>
      </c>
      <c r="F237">
        <v>1</v>
      </c>
      <c r="G237">
        <v>15514512</v>
      </c>
      <c r="H237">
        <v>3</v>
      </c>
      <c r="I237" t="s">
        <v>408</v>
      </c>
      <c r="J237" t="s">
        <v>409</v>
      </c>
      <c r="K237" t="s">
        <v>410</v>
      </c>
      <c r="L237">
        <v>1346</v>
      </c>
      <c r="N237">
        <v>1009</v>
      </c>
      <c r="O237" t="s">
        <v>411</v>
      </c>
      <c r="P237" t="s">
        <v>411</v>
      </c>
      <c r="Q237">
        <v>1</v>
      </c>
      <c r="X237">
        <v>0.04</v>
      </c>
      <c r="Y237">
        <v>31.49</v>
      </c>
      <c r="Z237">
        <v>0</v>
      </c>
      <c r="AA237">
        <v>0</v>
      </c>
      <c r="AB237">
        <v>0</v>
      </c>
      <c r="AC237">
        <v>0</v>
      </c>
      <c r="AD237">
        <v>1</v>
      </c>
      <c r="AE237">
        <v>0</v>
      </c>
      <c r="AF237" t="s">
        <v>3</v>
      </c>
      <c r="AG237">
        <v>0.04</v>
      </c>
      <c r="AH237">
        <v>3</v>
      </c>
      <c r="AI237">
        <v>-1</v>
      </c>
      <c r="AJ237" t="s">
        <v>3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</row>
    <row r="238" spans="1:44" x14ac:dyDescent="0.2">
      <c r="A238">
        <f>ROW(Source!A422)</f>
        <v>422</v>
      </c>
      <c r="B238">
        <v>1471742448</v>
      </c>
      <c r="C238">
        <v>1471664037</v>
      </c>
      <c r="D238">
        <v>1441819193</v>
      </c>
      <c r="E238">
        <v>15514512</v>
      </c>
      <c r="F238">
        <v>1</v>
      </c>
      <c r="G238">
        <v>15514512</v>
      </c>
      <c r="H238">
        <v>1</v>
      </c>
      <c r="I238" t="s">
        <v>401</v>
      </c>
      <c r="J238" t="s">
        <v>3</v>
      </c>
      <c r="K238" t="s">
        <v>402</v>
      </c>
      <c r="L238">
        <v>1191</v>
      </c>
      <c r="N238">
        <v>1013</v>
      </c>
      <c r="O238" t="s">
        <v>403</v>
      </c>
      <c r="P238" t="s">
        <v>403</v>
      </c>
      <c r="Q238">
        <v>1</v>
      </c>
      <c r="X238">
        <v>0.3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1</v>
      </c>
      <c r="AE238">
        <v>1</v>
      </c>
      <c r="AF238" t="s">
        <v>231</v>
      </c>
      <c r="AG238">
        <v>0.312</v>
      </c>
      <c r="AH238">
        <v>3</v>
      </c>
      <c r="AI238">
        <v>-1</v>
      </c>
      <c r="AJ238" t="s">
        <v>3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</row>
    <row r="239" spans="1:44" x14ac:dyDescent="0.2">
      <c r="A239">
        <f>ROW(Source!A422)</f>
        <v>422</v>
      </c>
      <c r="B239">
        <v>1471742450</v>
      </c>
      <c r="C239">
        <v>1471664037</v>
      </c>
      <c r="D239">
        <v>1441836235</v>
      </c>
      <c r="E239">
        <v>1</v>
      </c>
      <c r="F239">
        <v>1</v>
      </c>
      <c r="G239">
        <v>15514512</v>
      </c>
      <c r="H239">
        <v>3</v>
      </c>
      <c r="I239" t="s">
        <v>408</v>
      </c>
      <c r="J239" t="s">
        <v>409</v>
      </c>
      <c r="K239" t="s">
        <v>410</v>
      </c>
      <c r="L239">
        <v>1346</v>
      </c>
      <c r="N239">
        <v>1009</v>
      </c>
      <c r="O239" t="s">
        <v>411</v>
      </c>
      <c r="P239" t="s">
        <v>411</v>
      </c>
      <c r="Q239">
        <v>1</v>
      </c>
      <c r="X239">
        <v>0.02</v>
      </c>
      <c r="Y239">
        <v>31.49</v>
      </c>
      <c r="Z239">
        <v>0</v>
      </c>
      <c r="AA239">
        <v>0</v>
      </c>
      <c r="AB239">
        <v>0</v>
      </c>
      <c r="AC239">
        <v>0</v>
      </c>
      <c r="AD239">
        <v>1</v>
      </c>
      <c r="AE239">
        <v>0</v>
      </c>
      <c r="AF239" t="s">
        <v>3</v>
      </c>
      <c r="AG239">
        <v>0.02</v>
      </c>
      <c r="AH239">
        <v>3</v>
      </c>
      <c r="AI239">
        <v>-1</v>
      </c>
      <c r="AJ239" t="s">
        <v>3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</row>
    <row r="240" spans="1:44" x14ac:dyDescent="0.2">
      <c r="A240">
        <f>ROW(Source!A424)</f>
        <v>424</v>
      </c>
      <c r="B240">
        <v>1471742581</v>
      </c>
      <c r="C240">
        <v>1471664045</v>
      </c>
      <c r="D240">
        <v>1441819193</v>
      </c>
      <c r="E240">
        <v>15514512</v>
      </c>
      <c r="F240">
        <v>1</v>
      </c>
      <c r="G240">
        <v>15514512</v>
      </c>
      <c r="H240">
        <v>1</v>
      </c>
      <c r="I240" t="s">
        <v>401</v>
      </c>
      <c r="J240" t="s">
        <v>3</v>
      </c>
      <c r="K240" t="s">
        <v>402</v>
      </c>
      <c r="L240">
        <v>1191</v>
      </c>
      <c r="N240">
        <v>1013</v>
      </c>
      <c r="O240" t="s">
        <v>403</v>
      </c>
      <c r="P240" t="s">
        <v>403</v>
      </c>
      <c r="Q240">
        <v>1</v>
      </c>
      <c r="X240">
        <v>6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1</v>
      </c>
      <c r="AE240">
        <v>1</v>
      </c>
      <c r="AF240" t="s">
        <v>20</v>
      </c>
      <c r="AG240">
        <v>24</v>
      </c>
      <c r="AH240">
        <v>3</v>
      </c>
      <c r="AI240">
        <v>-1</v>
      </c>
      <c r="AJ240" t="s">
        <v>3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</row>
    <row r="241" spans="1:44" x14ac:dyDescent="0.2">
      <c r="A241">
        <f>ROW(Source!A424)</f>
        <v>424</v>
      </c>
      <c r="B241">
        <v>1471742582</v>
      </c>
      <c r="C241">
        <v>1471664045</v>
      </c>
      <c r="D241">
        <v>1441834258</v>
      </c>
      <c r="E241">
        <v>1</v>
      </c>
      <c r="F241">
        <v>1</v>
      </c>
      <c r="G241">
        <v>15514512</v>
      </c>
      <c r="H241">
        <v>2</v>
      </c>
      <c r="I241" t="s">
        <v>404</v>
      </c>
      <c r="J241" t="s">
        <v>405</v>
      </c>
      <c r="K241" t="s">
        <v>406</v>
      </c>
      <c r="L241">
        <v>1368</v>
      </c>
      <c r="N241">
        <v>1011</v>
      </c>
      <c r="O241" t="s">
        <v>407</v>
      </c>
      <c r="P241" t="s">
        <v>407</v>
      </c>
      <c r="Q241">
        <v>1</v>
      </c>
      <c r="X241">
        <v>0.7</v>
      </c>
      <c r="Y241">
        <v>0</v>
      </c>
      <c r="Z241">
        <v>1303.01</v>
      </c>
      <c r="AA241">
        <v>826.2</v>
      </c>
      <c r="AB241">
        <v>0</v>
      </c>
      <c r="AC241">
        <v>0</v>
      </c>
      <c r="AD241">
        <v>1</v>
      </c>
      <c r="AE241">
        <v>0</v>
      </c>
      <c r="AF241" t="s">
        <v>20</v>
      </c>
      <c r="AG241">
        <v>2.8</v>
      </c>
      <c r="AH241">
        <v>3</v>
      </c>
      <c r="AI241">
        <v>-1</v>
      </c>
      <c r="AJ241" t="s">
        <v>3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</row>
    <row r="242" spans="1:44" x14ac:dyDescent="0.2">
      <c r="A242">
        <f>ROW(Source!A424)</f>
        <v>424</v>
      </c>
      <c r="B242">
        <v>1471742584</v>
      </c>
      <c r="C242">
        <v>1471664045</v>
      </c>
      <c r="D242">
        <v>1441836235</v>
      </c>
      <c r="E242">
        <v>1</v>
      </c>
      <c r="F242">
        <v>1</v>
      </c>
      <c r="G242">
        <v>15514512</v>
      </c>
      <c r="H242">
        <v>3</v>
      </c>
      <c r="I242" t="s">
        <v>408</v>
      </c>
      <c r="J242" t="s">
        <v>409</v>
      </c>
      <c r="K242" t="s">
        <v>410</v>
      </c>
      <c r="L242">
        <v>1346</v>
      </c>
      <c r="N242">
        <v>1009</v>
      </c>
      <c r="O242" t="s">
        <v>411</v>
      </c>
      <c r="P242" t="s">
        <v>411</v>
      </c>
      <c r="Q242">
        <v>1</v>
      </c>
      <c r="X242">
        <v>0.03</v>
      </c>
      <c r="Y242">
        <v>31.49</v>
      </c>
      <c r="Z242">
        <v>0</v>
      </c>
      <c r="AA242">
        <v>0</v>
      </c>
      <c r="AB242">
        <v>0</v>
      </c>
      <c r="AC242">
        <v>0</v>
      </c>
      <c r="AD242">
        <v>1</v>
      </c>
      <c r="AE242">
        <v>0</v>
      </c>
      <c r="AF242" t="s">
        <v>20</v>
      </c>
      <c r="AG242">
        <v>0.12</v>
      </c>
      <c r="AH242">
        <v>3</v>
      </c>
      <c r="AI242">
        <v>-1</v>
      </c>
      <c r="AJ242" t="s">
        <v>3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</row>
    <row r="243" spans="1:44" x14ac:dyDescent="0.2">
      <c r="A243">
        <f>ROW(Source!A425)</f>
        <v>425</v>
      </c>
      <c r="B243">
        <v>1471742727</v>
      </c>
      <c r="C243">
        <v>1471664055</v>
      </c>
      <c r="D243">
        <v>1441819193</v>
      </c>
      <c r="E243">
        <v>15514512</v>
      </c>
      <c r="F243">
        <v>1</v>
      </c>
      <c r="G243">
        <v>15514512</v>
      </c>
      <c r="H243">
        <v>1</v>
      </c>
      <c r="I243" t="s">
        <v>401</v>
      </c>
      <c r="J243" t="s">
        <v>3</v>
      </c>
      <c r="K243" t="s">
        <v>402</v>
      </c>
      <c r="L243">
        <v>1191</v>
      </c>
      <c r="N243">
        <v>1013</v>
      </c>
      <c r="O243" t="s">
        <v>403</v>
      </c>
      <c r="P243" t="s">
        <v>403</v>
      </c>
      <c r="Q243">
        <v>1</v>
      </c>
      <c r="X243">
        <v>0.4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1</v>
      </c>
      <c r="AE243">
        <v>1</v>
      </c>
      <c r="AF243" t="s">
        <v>3</v>
      </c>
      <c r="AG243">
        <v>0.4</v>
      </c>
      <c r="AH243">
        <v>3</v>
      </c>
      <c r="AI243">
        <v>-1</v>
      </c>
      <c r="AJ243" t="s">
        <v>3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</row>
    <row r="244" spans="1:44" x14ac:dyDescent="0.2">
      <c r="A244">
        <f>ROW(Source!A425)</f>
        <v>425</v>
      </c>
      <c r="B244">
        <v>1471742728</v>
      </c>
      <c r="C244">
        <v>1471664055</v>
      </c>
      <c r="D244">
        <v>1441836235</v>
      </c>
      <c r="E244">
        <v>1</v>
      </c>
      <c r="F244">
        <v>1</v>
      </c>
      <c r="G244">
        <v>15514512</v>
      </c>
      <c r="H244">
        <v>3</v>
      </c>
      <c r="I244" t="s">
        <v>408</v>
      </c>
      <c r="J244" t="s">
        <v>409</v>
      </c>
      <c r="K244" t="s">
        <v>410</v>
      </c>
      <c r="L244">
        <v>1346</v>
      </c>
      <c r="N244">
        <v>1009</v>
      </c>
      <c r="O244" t="s">
        <v>411</v>
      </c>
      <c r="P244" t="s">
        <v>411</v>
      </c>
      <c r="Q244">
        <v>1</v>
      </c>
      <c r="X244">
        <v>0.2</v>
      </c>
      <c r="Y244">
        <v>31.49</v>
      </c>
      <c r="Z244">
        <v>0</v>
      </c>
      <c r="AA244">
        <v>0</v>
      </c>
      <c r="AB244">
        <v>0</v>
      </c>
      <c r="AC244">
        <v>0</v>
      </c>
      <c r="AD244">
        <v>1</v>
      </c>
      <c r="AE244">
        <v>0</v>
      </c>
      <c r="AF244" t="s">
        <v>3</v>
      </c>
      <c r="AG244">
        <v>0.2</v>
      </c>
      <c r="AH244">
        <v>3</v>
      </c>
      <c r="AI244">
        <v>-1</v>
      </c>
      <c r="AJ244" t="s">
        <v>3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</row>
    <row r="245" spans="1:44" x14ac:dyDescent="0.2">
      <c r="A245">
        <f>ROW(Source!A426)</f>
        <v>426</v>
      </c>
      <c r="B245">
        <v>1471742729</v>
      </c>
      <c r="C245">
        <v>1471664062</v>
      </c>
      <c r="D245">
        <v>1441819193</v>
      </c>
      <c r="E245">
        <v>15514512</v>
      </c>
      <c r="F245">
        <v>1</v>
      </c>
      <c r="G245">
        <v>15514512</v>
      </c>
      <c r="H245">
        <v>1</v>
      </c>
      <c r="I245" t="s">
        <v>401</v>
      </c>
      <c r="J245" t="s">
        <v>3</v>
      </c>
      <c r="K245" t="s">
        <v>402</v>
      </c>
      <c r="L245">
        <v>1191</v>
      </c>
      <c r="N245">
        <v>1013</v>
      </c>
      <c r="O245" t="s">
        <v>403</v>
      </c>
      <c r="P245" t="s">
        <v>403</v>
      </c>
      <c r="Q245">
        <v>1</v>
      </c>
      <c r="X245">
        <v>0.18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1</v>
      </c>
      <c r="AE245">
        <v>1</v>
      </c>
      <c r="AF245" t="s">
        <v>3</v>
      </c>
      <c r="AG245">
        <v>0.18</v>
      </c>
      <c r="AH245">
        <v>3</v>
      </c>
      <c r="AI245">
        <v>-1</v>
      </c>
      <c r="AJ245" t="s">
        <v>3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</row>
    <row r="246" spans="1:44" x14ac:dyDescent="0.2">
      <c r="A246">
        <f>ROW(Source!A426)</f>
        <v>426</v>
      </c>
      <c r="B246">
        <v>1471742730</v>
      </c>
      <c r="C246">
        <v>1471664062</v>
      </c>
      <c r="D246">
        <v>1441836235</v>
      </c>
      <c r="E246">
        <v>1</v>
      </c>
      <c r="F246">
        <v>1</v>
      </c>
      <c r="G246">
        <v>15514512</v>
      </c>
      <c r="H246">
        <v>3</v>
      </c>
      <c r="I246" t="s">
        <v>408</v>
      </c>
      <c r="J246" t="s">
        <v>409</v>
      </c>
      <c r="K246" t="s">
        <v>410</v>
      </c>
      <c r="L246">
        <v>1346</v>
      </c>
      <c r="N246">
        <v>1009</v>
      </c>
      <c r="O246" t="s">
        <v>411</v>
      </c>
      <c r="P246" t="s">
        <v>411</v>
      </c>
      <c r="Q246">
        <v>1</v>
      </c>
      <c r="X246">
        <v>0.2</v>
      </c>
      <c r="Y246">
        <v>31.49</v>
      </c>
      <c r="Z246">
        <v>0</v>
      </c>
      <c r="AA246">
        <v>0</v>
      </c>
      <c r="AB246">
        <v>0</v>
      </c>
      <c r="AC246">
        <v>0</v>
      </c>
      <c r="AD246">
        <v>1</v>
      </c>
      <c r="AE246">
        <v>0</v>
      </c>
      <c r="AF246" t="s">
        <v>3</v>
      </c>
      <c r="AG246">
        <v>0.2</v>
      </c>
      <c r="AH246">
        <v>3</v>
      </c>
      <c r="AI246">
        <v>-1</v>
      </c>
      <c r="AJ246" t="s">
        <v>3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</row>
    <row r="247" spans="1:44" x14ac:dyDescent="0.2">
      <c r="A247">
        <f>ROW(Source!A427)</f>
        <v>427</v>
      </c>
      <c r="B247">
        <v>1471742731</v>
      </c>
      <c r="C247">
        <v>1471664069</v>
      </c>
      <c r="D247">
        <v>1441819193</v>
      </c>
      <c r="E247">
        <v>15514512</v>
      </c>
      <c r="F247">
        <v>1</v>
      </c>
      <c r="G247">
        <v>15514512</v>
      </c>
      <c r="H247">
        <v>1</v>
      </c>
      <c r="I247" t="s">
        <v>401</v>
      </c>
      <c r="J247" t="s">
        <v>3</v>
      </c>
      <c r="K247" t="s">
        <v>402</v>
      </c>
      <c r="L247">
        <v>1191</v>
      </c>
      <c r="N247">
        <v>1013</v>
      </c>
      <c r="O247" t="s">
        <v>403</v>
      </c>
      <c r="P247" t="s">
        <v>403</v>
      </c>
      <c r="Q247">
        <v>1</v>
      </c>
      <c r="X247">
        <v>0.24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1</v>
      </c>
      <c r="AE247">
        <v>1</v>
      </c>
      <c r="AF247" t="s">
        <v>163</v>
      </c>
      <c r="AG247">
        <v>0.72</v>
      </c>
      <c r="AH247">
        <v>3</v>
      </c>
      <c r="AI247">
        <v>-1</v>
      </c>
      <c r="AJ247" t="s">
        <v>3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</row>
    <row r="248" spans="1:44" x14ac:dyDescent="0.2">
      <c r="A248">
        <f>ROW(Source!A428)</f>
        <v>428</v>
      </c>
      <c r="B248">
        <v>1471742732</v>
      </c>
      <c r="C248">
        <v>1471664074</v>
      </c>
      <c r="D248">
        <v>1441819193</v>
      </c>
      <c r="E248">
        <v>15514512</v>
      </c>
      <c r="F248">
        <v>1</v>
      </c>
      <c r="G248">
        <v>15514512</v>
      </c>
      <c r="H248">
        <v>1</v>
      </c>
      <c r="I248" t="s">
        <v>401</v>
      </c>
      <c r="J248" t="s">
        <v>3</v>
      </c>
      <c r="K248" t="s">
        <v>402</v>
      </c>
      <c r="L248">
        <v>1191</v>
      </c>
      <c r="N248">
        <v>1013</v>
      </c>
      <c r="O248" t="s">
        <v>403</v>
      </c>
      <c r="P248" t="s">
        <v>403</v>
      </c>
      <c r="Q248">
        <v>1</v>
      </c>
      <c r="X248">
        <v>0.26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1</v>
      </c>
      <c r="AE248">
        <v>1</v>
      </c>
      <c r="AF248" t="s">
        <v>20</v>
      </c>
      <c r="AG248">
        <v>1.04</v>
      </c>
      <c r="AH248">
        <v>3</v>
      </c>
      <c r="AI248">
        <v>-1</v>
      </c>
      <c r="AJ248" t="s">
        <v>3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</row>
    <row r="249" spans="1:44" x14ac:dyDescent="0.2">
      <c r="A249">
        <f>ROW(Source!A428)</f>
        <v>428</v>
      </c>
      <c r="B249">
        <v>1471742733</v>
      </c>
      <c r="C249">
        <v>1471664074</v>
      </c>
      <c r="D249">
        <v>1441836235</v>
      </c>
      <c r="E249">
        <v>1</v>
      </c>
      <c r="F249">
        <v>1</v>
      </c>
      <c r="G249">
        <v>15514512</v>
      </c>
      <c r="H249">
        <v>3</v>
      </c>
      <c r="I249" t="s">
        <v>408</v>
      </c>
      <c r="J249" t="s">
        <v>409</v>
      </c>
      <c r="K249" t="s">
        <v>410</v>
      </c>
      <c r="L249">
        <v>1346</v>
      </c>
      <c r="N249">
        <v>1009</v>
      </c>
      <c r="O249" t="s">
        <v>411</v>
      </c>
      <c r="P249" t="s">
        <v>411</v>
      </c>
      <c r="Q249">
        <v>1</v>
      </c>
      <c r="X249">
        <v>0.04</v>
      </c>
      <c r="Y249">
        <v>31.49</v>
      </c>
      <c r="Z249">
        <v>0</v>
      </c>
      <c r="AA249">
        <v>0</v>
      </c>
      <c r="AB249">
        <v>0</v>
      </c>
      <c r="AC249">
        <v>0</v>
      </c>
      <c r="AD249">
        <v>1</v>
      </c>
      <c r="AE249">
        <v>0</v>
      </c>
      <c r="AF249" t="s">
        <v>20</v>
      </c>
      <c r="AG249">
        <v>0.16</v>
      </c>
      <c r="AH249">
        <v>3</v>
      </c>
      <c r="AI249">
        <v>-1</v>
      </c>
      <c r="AJ249" t="s">
        <v>3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</row>
    <row r="250" spans="1:44" x14ac:dyDescent="0.2">
      <c r="A250">
        <f>ROW(Source!A429)</f>
        <v>429</v>
      </c>
      <c r="B250">
        <v>1471742734</v>
      </c>
      <c r="C250">
        <v>1471664081</v>
      </c>
      <c r="D250">
        <v>1441819193</v>
      </c>
      <c r="E250">
        <v>15514512</v>
      </c>
      <c r="F250">
        <v>1</v>
      </c>
      <c r="G250">
        <v>15514512</v>
      </c>
      <c r="H250">
        <v>1</v>
      </c>
      <c r="I250" t="s">
        <v>401</v>
      </c>
      <c r="J250" t="s">
        <v>3</v>
      </c>
      <c r="K250" t="s">
        <v>402</v>
      </c>
      <c r="L250">
        <v>1191</v>
      </c>
      <c r="N250">
        <v>1013</v>
      </c>
      <c r="O250" t="s">
        <v>403</v>
      </c>
      <c r="P250" t="s">
        <v>403</v>
      </c>
      <c r="Q250">
        <v>1</v>
      </c>
      <c r="X250">
        <v>0.95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1</v>
      </c>
      <c r="AE250">
        <v>1</v>
      </c>
      <c r="AF250" t="s">
        <v>3</v>
      </c>
      <c r="AG250">
        <v>0.95</v>
      </c>
      <c r="AH250">
        <v>3</v>
      </c>
      <c r="AI250">
        <v>-1</v>
      </c>
      <c r="AJ250" t="s">
        <v>3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</row>
    <row r="251" spans="1:44" x14ac:dyDescent="0.2">
      <c r="A251">
        <f>ROW(Source!A429)</f>
        <v>429</v>
      </c>
      <c r="B251">
        <v>1471742735</v>
      </c>
      <c r="C251">
        <v>1471664081</v>
      </c>
      <c r="D251">
        <v>1441836187</v>
      </c>
      <c r="E251">
        <v>1</v>
      </c>
      <c r="F251">
        <v>1</v>
      </c>
      <c r="G251">
        <v>15514512</v>
      </c>
      <c r="H251">
        <v>3</v>
      </c>
      <c r="I251" t="s">
        <v>469</v>
      </c>
      <c r="J251" t="s">
        <v>470</v>
      </c>
      <c r="K251" t="s">
        <v>471</v>
      </c>
      <c r="L251">
        <v>1346</v>
      </c>
      <c r="N251">
        <v>1009</v>
      </c>
      <c r="O251" t="s">
        <v>411</v>
      </c>
      <c r="P251" t="s">
        <v>411</v>
      </c>
      <c r="Q251">
        <v>1</v>
      </c>
      <c r="X251">
        <v>2.9299999999999999E-3</v>
      </c>
      <c r="Y251">
        <v>424.66</v>
      </c>
      <c r="Z251">
        <v>0</v>
      </c>
      <c r="AA251">
        <v>0</v>
      </c>
      <c r="AB251">
        <v>0</v>
      </c>
      <c r="AC251">
        <v>0</v>
      </c>
      <c r="AD251">
        <v>1</v>
      </c>
      <c r="AE251">
        <v>0</v>
      </c>
      <c r="AF251" t="s">
        <v>3</v>
      </c>
      <c r="AG251">
        <v>2.9299999999999999E-3</v>
      </c>
      <c r="AH251">
        <v>3</v>
      </c>
      <c r="AI251">
        <v>-1</v>
      </c>
      <c r="AJ251" t="s">
        <v>3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</row>
    <row r="252" spans="1:44" x14ac:dyDescent="0.2">
      <c r="A252">
        <f>ROW(Source!A429)</f>
        <v>429</v>
      </c>
      <c r="B252">
        <v>1471742736</v>
      </c>
      <c r="C252">
        <v>1471664081</v>
      </c>
      <c r="D252">
        <v>1441836235</v>
      </c>
      <c r="E252">
        <v>1</v>
      </c>
      <c r="F252">
        <v>1</v>
      </c>
      <c r="G252">
        <v>15514512</v>
      </c>
      <c r="H252">
        <v>3</v>
      </c>
      <c r="I252" t="s">
        <v>408</v>
      </c>
      <c r="J252" t="s">
        <v>409</v>
      </c>
      <c r="K252" t="s">
        <v>410</v>
      </c>
      <c r="L252">
        <v>1346</v>
      </c>
      <c r="N252">
        <v>1009</v>
      </c>
      <c r="O252" t="s">
        <v>411</v>
      </c>
      <c r="P252" t="s">
        <v>411</v>
      </c>
      <c r="Q252">
        <v>1</v>
      </c>
      <c r="X252">
        <v>3.7999999999999999E-2</v>
      </c>
      <c r="Y252">
        <v>31.49</v>
      </c>
      <c r="Z252">
        <v>0</v>
      </c>
      <c r="AA252">
        <v>0</v>
      </c>
      <c r="AB252">
        <v>0</v>
      </c>
      <c r="AC252">
        <v>0</v>
      </c>
      <c r="AD252">
        <v>1</v>
      </c>
      <c r="AE252">
        <v>0</v>
      </c>
      <c r="AF252" t="s">
        <v>3</v>
      </c>
      <c r="AG252">
        <v>3.7999999999999999E-2</v>
      </c>
      <c r="AH252">
        <v>3</v>
      </c>
      <c r="AI252">
        <v>-1</v>
      </c>
      <c r="AJ252" t="s">
        <v>3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</row>
    <row r="253" spans="1:44" x14ac:dyDescent="0.2">
      <c r="A253">
        <f>ROW(Source!A430)</f>
        <v>430</v>
      </c>
      <c r="B253">
        <v>1471742794</v>
      </c>
      <c r="C253">
        <v>1471664091</v>
      </c>
      <c r="D253">
        <v>1441819193</v>
      </c>
      <c r="E253">
        <v>15514512</v>
      </c>
      <c r="F253">
        <v>1</v>
      </c>
      <c r="G253">
        <v>15514512</v>
      </c>
      <c r="H253">
        <v>1</v>
      </c>
      <c r="I253" t="s">
        <v>401</v>
      </c>
      <c r="J253" t="s">
        <v>3</v>
      </c>
      <c r="K253" t="s">
        <v>402</v>
      </c>
      <c r="L253">
        <v>1191</v>
      </c>
      <c r="N253">
        <v>1013</v>
      </c>
      <c r="O253" t="s">
        <v>403</v>
      </c>
      <c r="P253" t="s">
        <v>403</v>
      </c>
      <c r="Q253">
        <v>1</v>
      </c>
      <c r="X253">
        <v>0.1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1</v>
      </c>
      <c r="AE253">
        <v>1</v>
      </c>
      <c r="AF253" t="s">
        <v>42</v>
      </c>
      <c r="AG253">
        <v>0.2</v>
      </c>
      <c r="AH253">
        <v>3</v>
      </c>
      <c r="AI253">
        <v>-1</v>
      </c>
      <c r="AJ253" t="s">
        <v>3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</row>
    <row r="254" spans="1:44" x14ac:dyDescent="0.2">
      <c r="A254">
        <f>ROW(Source!A430)</f>
        <v>430</v>
      </c>
      <c r="B254">
        <v>1471742796</v>
      </c>
      <c r="C254">
        <v>1471664091</v>
      </c>
      <c r="D254">
        <v>1441836235</v>
      </c>
      <c r="E254">
        <v>1</v>
      </c>
      <c r="F254">
        <v>1</v>
      </c>
      <c r="G254">
        <v>15514512</v>
      </c>
      <c r="H254">
        <v>3</v>
      </c>
      <c r="I254" t="s">
        <v>408</v>
      </c>
      <c r="J254" t="s">
        <v>409</v>
      </c>
      <c r="K254" t="s">
        <v>410</v>
      </c>
      <c r="L254">
        <v>1346</v>
      </c>
      <c r="N254">
        <v>1009</v>
      </c>
      <c r="O254" t="s">
        <v>411</v>
      </c>
      <c r="P254" t="s">
        <v>411</v>
      </c>
      <c r="Q254">
        <v>1</v>
      </c>
      <c r="X254">
        <v>1E-3</v>
      </c>
      <c r="Y254">
        <v>31.49</v>
      </c>
      <c r="Z254">
        <v>0</v>
      </c>
      <c r="AA254">
        <v>0</v>
      </c>
      <c r="AB254">
        <v>0</v>
      </c>
      <c r="AC254">
        <v>0</v>
      </c>
      <c r="AD254">
        <v>1</v>
      </c>
      <c r="AE254">
        <v>0</v>
      </c>
      <c r="AF254" t="s">
        <v>42</v>
      </c>
      <c r="AG254">
        <v>2E-3</v>
      </c>
      <c r="AH254">
        <v>3</v>
      </c>
      <c r="AI254">
        <v>-1</v>
      </c>
      <c r="AJ254" t="s">
        <v>3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</row>
    <row r="255" spans="1:44" x14ac:dyDescent="0.2">
      <c r="A255">
        <f>ROW(Source!A430)</f>
        <v>430</v>
      </c>
      <c r="B255">
        <v>1471742795</v>
      </c>
      <c r="C255">
        <v>1471664091</v>
      </c>
      <c r="D255">
        <v>1441822228</v>
      </c>
      <c r="E255">
        <v>15514512</v>
      </c>
      <c r="F255">
        <v>1</v>
      </c>
      <c r="G255">
        <v>15514512</v>
      </c>
      <c r="H255">
        <v>3</v>
      </c>
      <c r="I255" t="s">
        <v>451</v>
      </c>
      <c r="J255" t="s">
        <v>3</v>
      </c>
      <c r="K255" t="s">
        <v>452</v>
      </c>
      <c r="L255">
        <v>1346</v>
      </c>
      <c r="N255">
        <v>1009</v>
      </c>
      <c r="O255" t="s">
        <v>411</v>
      </c>
      <c r="P255" t="s">
        <v>411</v>
      </c>
      <c r="Q255">
        <v>1</v>
      </c>
      <c r="X255">
        <v>2E-3</v>
      </c>
      <c r="Y255">
        <v>73.951729999999998</v>
      </c>
      <c r="Z255">
        <v>0</v>
      </c>
      <c r="AA255">
        <v>0</v>
      </c>
      <c r="AB255">
        <v>0</v>
      </c>
      <c r="AC255">
        <v>0</v>
      </c>
      <c r="AD255">
        <v>1</v>
      </c>
      <c r="AE255">
        <v>0</v>
      </c>
      <c r="AF255" t="s">
        <v>42</v>
      </c>
      <c r="AG255">
        <v>4.0000000000000001E-3</v>
      </c>
      <c r="AH255">
        <v>3</v>
      </c>
      <c r="AI255">
        <v>-1</v>
      </c>
      <c r="AJ255" t="s">
        <v>3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</row>
    <row r="256" spans="1:44" x14ac:dyDescent="0.2">
      <c r="A256">
        <f>ROW(Source!A431)</f>
        <v>431</v>
      </c>
      <c r="B256">
        <v>1471742797</v>
      </c>
      <c r="C256">
        <v>1471664102</v>
      </c>
      <c r="D256">
        <v>1441819193</v>
      </c>
      <c r="E256">
        <v>15514512</v>
      </c>
      <c r="F256">
        <v>1</v>
      </c>
      <c r="G256">
        <v>15514512</v>
      </c>
      <c r="H256">
        <v>1</v>
      </c>
      <c r="I256" t="s">
        <v>401</v>
      </c>
      <c r="J256" t="s">
        <v>3</v>
      </c>
      <c r="K256" t="s">
        <v>402</v>
      </c>
      <c r="L256">
        <v>1191</v>
      </c>
      <c r="N256">
        <v>1013</v>
      </c>
      <c r="O256" t="s">
        <v>403</v>
      </c>
      <c r="P256" t="s">
        <v>403</v>
      </c>
      <c r="Q256">
        <v>1</v>
      </c>
      <c r="X256">
        <v>3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1</v>
      </c>
      <c r="AE256">
        <v>1</v>
      </c>
      <c r="AF256" t="s">
        <v>42</v>
      </c>
      <c r="AG256">
        <v>6</v>
      </c>
      <c r="AH256">
        <v>3</v>
      </c>
      <c r="AI256">
        <v>-1</v>
      </c>
      <c r="AJ256" t="s">
        <v>3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</row>
    <row r="257" spans="1:44" x14ac:dyDescent="0.2">
      <c r="A257">
        <f>ROW(Source!A431)</f>
        <v>431</v>
      </c>
      <c r="B257">
        <v>1471742799</v>
      </c>
      <c r="C257">
        <v>1471664102</v>
      </c>
      <c r="D257">
        <v>1441836237</v>
      </c>
      <c r="E257">
        <v>1</v>
      </c>
      <c r="F257">
        <v>1</v>
      </c>
      <c r="G257">
        <v>15514512</v>
      </c>
      <c r="H257">
        <v>3</v>
      </c>
      <c r="I257" t="s">
        <v>448</v>
      </c>
      <c r="J257" t="s">
        <v>449</v>
      </c>
      <c r="K257" t="s">
        <v>450</v>
      </c>
      <c r="L257">
        <v>1346</v>
      </c>
      <c r="N257">
        <v>1009</v>
      </c>
      <c r="O257" t="s">
        <v>411</v>
      </c>
      <c r="P257" t="s">
        <v>411</v>
      </c>
      <c r="Q257">
        <v>1</v>
      </c>
      <c r="X257">
        <v>0.06</v>
      </c>
      <c r="Y257">
        <v>375.16</v>
      </c>
      <c r="Z257">
        <v>0</v>
      </c>
      <c r="AA257">
        <v>0</v>
      </c>
      <c r="AB257">
        <v>0</v>
      </c>
      <c r="AC257">
        <v>0</v>
      </c>
      <c r="AD257">
        <v>1</v>
      </c>
      <c r="AE257">
        <v>0</v>
      </c>
      <c r="AF257" t="s">
        <v>42</v>
      </c>
      <c r="AG257">
        <v>0.12</v>
      </c>
      <c r="AH257">
        <v>3</v>
      </c>
      <c r="AI257">
        <v>-1</v>
      </c>
      <c r="AJ257" t="s">
        <v>3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</row>
    <row r="258" spans="1:44" x14ac:dyDescent="0.2">
      <c r="A258">
        <f>ROW(Source!A431)</f>
        <v>431</v>
      </c>
      <c r="B258">
        <v>1471742800</v>
      </c>
      <c r="C258">
        <v>1471664102</v>
      </c>
      <c r="D258">
        <v>1441836235</v>
      </c>
      <c r="E258">
        <v>1</v>
      </c>
      <c r="F258">
        <v>1</v>
      </c>
      <c r="G258">
        <v>15514512</v>
      </c>
      <c r="H258">
        <v>3</v>
      </c>
      <c r="I258" t="s">
        <v>408</v>
      </c>
      <c r="J258" t="s">
        <v>409</v>
      </c>
      <c r="K258" t="s">
        <v>410</v>
      </c>
      <c r="L258">
        <v>1346</v>
      </c>
      <c r="N258">
        <v>1009</v>
      </c>
      <c r="O258" t="s">
        <v>411</v>
      </c>
      <c r="P258" t="s">
        <v>411</v>
      </c>
      <c r="Q258">
        <v>1</v>
      </c>
      <c r="X258">
        <v>0.02</v>
      </c>
      <c r="Y258">
        <v>31.49</v>
      </c>
      <c r="Z258">
        <v>0</v>
      </c>
      <c r="AA258">
        <v>0</v>
      </c>
      <c r="AB258">
        <v>0</v>
      </c>
      <c r="AC258">
        <v>0</v>
      </c>
      <c r="AD258">
        <v>1</v>
      </c>
      <c r="AE258">
        <v>0</v>
      </c>
      <c r="AF258" t="s">
        <v>42</v>
      </c>
      <c r="AG258">
        <v>0.04</v>
      </c>
      <c r="AH258">
        <v>3</v>
      </c>
      <c r="AI258">
        <v>-1</v>
      </c>
      <c r="AJ258" t="s">
        <v>3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</row>
    <row r="259" spans="1:44" x14ac:dyDescent="0.2">
      <c r="A259">
        <f>ROW(Source!A431)</f>
        <v>431</v>
      </c>
      <c r="B259">
        <v>1471742798</v>
      </c>
      <c r="C259">
        <v>1471664102</v>
      </c>
      <c r="D259">
        <v>1441822228</v>
      </c>
      <c r="E259">
        <v>15514512</v>
      </c>
      <c r="F259">
        <v>1</v>
      </c>
      <c r="G259">
        <v>15514512</v>
      </c>
      <c r="H259">
        <v>3</v>
      </c>
      <c r="I259" t="s">
        <v>451</v>
      </c>
      <c r="J259" t="s">
        <v>3</v>
      </c>
      <c r="K259" t="s">
        <v>452</v>
      </c>
      <c r="L259">
        <v>1346</v>
      </c>
      <c r="N259">
        <v>1009</v>
      </c>
      <c r="O259" t="s">
        <v>411</v>
      </c>
      <c r="P259" t="s">
        <v>411</v>
      </c>
      <c r="Q259">
        <v>1</v>
      </c>
      <c r="X259">
        <v>0.02</v>
      </c>
      <c r="Y259">
        <v>73.951729999999998</v>
      </c>
      <c r="Z259">
        <v>0</v>
      </c>
      <c r="AA259">
        <v>0</v>
      </c>
      <c r="AB259">
        <v>0</v>
      </c>
      <c r="AC259">
        <v>0</v>
      </c>
      <c r="AD259">
        <v>1</v>
      </c>
      <c r="AE259">
        <v>0</v>
      </c>
      <c r="AF259" t="s">
        <v>42</v>
      </c>
      <c r="AG259">
        <v>0.04</v>
      </c>
      <c r="AH259">
        <v>3</v>
      </c>
      <c r="AI259">
        <v>-1</v>
      </c>
      <c r="AJ259" t="s">
        <v>3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</row>
    <row r="260" spans="1:44" x14ac:dyDescent="0.2">
      <c r="A260">
        <f>ROW(Source!A431)</f>
        <v>431</v>
      </c>
      <c r="B260">
        <v>1471742801</v>
      </c>
      <c r="C260">
        <v>1471664102</v>
      </c>
      <c r="D260">
        <v>1441834920</v>
      </c>
      <c r="E260">
        <v>1</v>
      </c>
      <c r="F260">
        <v>1</v>
      </c>
      <c r="G260">
        <v>15514512</v>
      </c>
      <c r="H260">
        <v>3</v>
      </c>
      <c r="I260" t="s">
        <v>453</v>
      </c>
      <c r="J260" t="s">
        <v>454</v>
      </c>
      <c r="K260" t="s">
        <v>455</v>
      </c>
      <c r="L260">
        <v>1346</v>
      </c>
      <c r="N260">
        <v>1009</v>
      </c>
      <c r="O260" t="s">
        <v>411</v>
      </c>
      <c r="P260" t="s">
        <v>411</v>
      </c>
      <c r="Q260">
        <v>1</v>
      </c>
      <c r="X260">
        <v>0.01</v>
      </c>
      <c r="Y260">
        <v>106.87</v>
      </c>
      <c r="Z260">
        <v>0</v>
      </c>
      <c r="AA260">
        <v>0</v>
      </c>
      <c r="AB260">
        <v>0</v>
      </c>
      <c r="AC260">
        <v>0</v>
      </c>
      <c r="AD260">
        <v>1</v>
      </c>
      <c r="AE260">
        <v>0</v>
      </c>
      <c r="AF260" t="s">
        <v>42</v>
      </c>
      <c r="AG260">
        <v>0.02</v>
      </c>
      <c r="AH260">
        <v>3</v>
      </c>
      <c r="AI260">
        <v>-1</v>
      </c>
      <c r="AJ260" t="s">
        <v>3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</row>
    <row r="261" spans="1:44" x14ac:dyDescent="0.2">
      <c r="A261">
        <f>ROW(Source!A433)</f>
        <v>433</v>
      </c>
      <c r="B261">
        <v>1471742802</v>
      </c>
      <c r="C261">
        <v>1471664119</v>
      </c>
      <c r="D261">
        <v>1441819193</v>
      </c>
      <c r="E261">
        <v>15514512</v>
      </c>
      <c r="F261">
        <v>1</v>
      </c>
      <c r="G261">
        <v>15514512</v>
      </c>
      <c r="H261">
        <v>1</v>
      </c>
      <c r="I261" t="s">
        <v>401</v>
      </c>
      <c r="J261" t="s">
        <v>3</v>
      </c>
      <c r="K261" t="s">
        <v>402</v>
      </c>
      <c r="L261">
        <v>1191</v>
      </c>
      <c r="N261">
        <v>1013</v>
      </c>
      <c r="O261" t="s">
        <v>403</v>
      </c>
      <c r="P261" t="s">
        <v>403</v>
      </c>
      <c r="Q261">
        <v>1</v>
      </c>
      <c r="X261">
        <v>10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1</v>
      </c>
      <c r="AE261">
        <v>1</v>
      </c>
      <c r="AF261" t="s">
        <v>3</v>
      </c>
      <c r="AG261">
        <v>10</v>
      </c>
      <c r="AH261">
        <v>3</v>
      </c>
      <c r="AI261">
        <v>-1</v>
      </c>
      <c r="AJ261" t="s">
        <v>3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</row>
    <row r="262" spans="1:44" x14ac:dyDescent="0.2">
      <c r="A262">
        <f>ROW(Source!A433)</f>
        <v>433</v>
      </c>
      <c r="B262">
        <v>1471742803</v>
      </c>
      <c r="C262">
        <v>1471664119</v>
      </c>
      <c r="D262">
        <v>1441836237</v>
      </c>
      <c r="E262">
        <v>1</v>
      </c>
      <c r="F262">
        <v>1</v>
      </c>
      <c r="G262">
        <v>15514512</v>
      </c>
      <c r="H262">
        <v>3</v>
      </c>
      <c r="I262" t="s">
        <v>448</v>
      </c>
      <c r="J262" t="s">
        <v>449</v>
      </c>
      <c r="K262" t="s">
        <v>450</v>
      </c>
      <c r="L262">
        <v>1346</v>
      </c>
      <c r="N262">
        <v>1009</v>
      </c>
      <c r="O262" t="s">
        <v>411</v>
      </c>
      <c r="P262" t="s">
        <v>411</v>
      </c>
      <c r="Q262">
        <v>1</v>
      </c>
      <c r="X262">
        <v>0.06</v>
      </c>
      <c r="Y262">
        <v>375.16</v>
      </c>
      <c r="Z262">
        <v>0</v>
      </c>
      <c r="AA262">
        <v>0</v>
      </c>
      <c r="AB262">
        <v>0</v>
      </c>
      <c r="AC262">
        <v>0</v>
      </c>
      <c r="AD262">
        <v>1</v>
      </c>
      <c r="AE262">
        <v>0</v>
      </c>
      <c r="AF262" t="s">
        <v>3</v>
      </c>
      <c r="AG262">
        <v>0.06</v>
      </c>
      <c r="AH262">
        <v>3</v>
      </c>
      <c r="AI262">
        <v>-1</v>
      </c>
      <c r="AJ262" t="s">
        <v>3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</row>
    <row r="263" spans="1:44" x14ac:dyDescent="0.2">
      <c r="A263">
        <f>ROW(Source!A434)</f>
        <v>434</v>
      </c>
      <c r="B263">
        <v>1471742804</v>
      </c>
      <c r="C263">
        <v>1471664126</v>
      </c>
      <c r="D263">
        <v>1441819193</v>
      </c>
      <c r="E263">
        <v>15514512</v>
      </c>
      <c r="F263">
        <v>1</v>
      </c>
      <c r="G263">
        <v>15514512</v>
      </c>
      <c r="H263">
        <v>1</v>
      </c>
      <c r="I263" t="s">
        <v>401</v>
      </c>
      <c r="J263" t="s">
        <v>3</v>
      </c>
      <c r="K263" t="s">
        <v>402</v>
      </c>
      <c r="L263">
        <v>1191</v>
      </c>
      <c r="N263">
        <v>1013</v>
      </c>
      <c r="O263" t="s">
        <v>403</v>
      </c>
      <c r="P263" t="s">
        <v>403</v>
      </c>
      <c r="Q263">
        <v>1</v>
      </c>
      <c r="X263">
        <v>0.33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1</v>
      </c>
      <c r="AE263">
        <v>1</v>
      </c>
      <c r="AF263" t="s">
        <v>3</v>
      </c>
      <c r="AG263">
        <v>0.33</v>
      </c>
      <c r="AH263">
        <v>3</v>
      </c>
      <c r="AI263">
        <v>-1</v>
      </c>
      <c r="AJ263" t="s">
        <v>3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</row>
    <row r="264" spans="1:44" x14ac:dyDescent="0.2">
      <c r="A264">
        <f>ROW(Source!A435)</f>
        <v>435</v>
      </c>
      <c r="B264">
        <v>1471742806</v>
      </c>
      <c r="C264">
        <v>1471664130</v>
      </c>
      <c r="D264">
        <v>1441819193</v>
      </c>
      <c r="E264">
        <v>15514512</v>
      </c>
      <c r="F264">
        <v>1</v>
      </c>
      <c r="G264">
        <v>15514512</v>
      </c>
      <c r="H264">
        <v>1</v>
      </c>
      <c r="I264" t="s">
        <v>401</v>
      </c>
      <c r="J264" t="s">
        <v>3</v>
      </c>
      <c r="K264" t="s">
        <v>402</v>
      </c>
      <c r="L264">
        <v>1191</v>
      </c>
      <c r="N264">
        <v>1013</v>
      </c>
      <c r="O264" t="s">
        <v>403</v>
      </c>
      <c r="P264" t="s">
        <v>403</v>
      </c>
      <c r="Q264">
        <v>1</v>
      </c>
      <c r="X264">
        <v>10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1</v>
      </c>
      <c r="AE264">
        <v>1</v>
      </c>
      <c r="AF264" t="s">
        <v>3</v>
      </c>
      <c r="AG264">
        <v>10</v>
      </c>
      <c r="AH264">
        <v>3</v>
      </c>
      <c r="AI264">
        <v>-1</v>
      </c>
      <c r="AJ264" t="s">
        <v>3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</row>
    <row r="265" spans="1:44" x14ac:dyDescent="0.2">
      <c r="A265">
        <f>ROW(Source!A435)</f>
        <v>435</v>
      </c>
      <c r="B265">
        <v>1471742807</v>
      </c>
      <c r="C265">
        <v>1471664130</v>
      </c>
      <c r="D265">
        <v>1441836237</v>
      </c>
      <c r="E265">
        <v>1</v>
      </c>
      <c r="F265">
        <v>1</v>
      </c>
      <c r="G265">
        <v>15514512</v>
      </c>
      <c r="H265">
        <v>3</v>
      </c>
      <c r="I265" t="s">
        <v>448</v>
      </c>
      <c r="J265" t="s">
        <v>449</v>
      </c>
      <c r="K265" t="s">
        <v>450</v>
      </c>
      <c r="L265">
        <v>1346</v>
      </c>
      <c r="N265">
        <v>1009</v>
      </c>
      <c r="O265" t="s">
        <v>411</v>
      </c>
      <c r="P265" t="s">
        <v>411</v>
      </c>
      <c r="Q265">
        <v>1</v>
      </c>
      <c r="X265">
        <v>0.06</v>
      </c>
      <c r="Y265">
        <v>375.16</v>
      </c>
      <c r="Z265">
        <v>0</v>
      </c>
      <c r="AA265">
        <v>0</v>
      </c>
      <c r="AB265">
        <v>0</v>
      </c>
      <c r="AC265">
        <v>0</v>
      </c>
      <c r="AD265">
        <v>1</v>
      </c>
      <c r="AE265">
        <v>0</v>
      </c>
      <c r="AF265" t="s">
        <v>3</v>
      </c>
      <c r="AG265">
        <v>0.06</v>
      </c>
      <c r="AH265">
        <v>3</v>
      </c>
      <c r="AI265">
        <v>-1</v>
      </c>
      <c r="AJ265" t="s">
        <v>3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</row>
    <row r="266" spans="1:44" x14ac:dyDescent="0.2">
      <c r="A266">
        <f>ROW(Source!A436)</f>
        <v>436</v>
      </c>
      <c r="B266">
        <v>1471742808</v>
      </c>
      <c r="C266">
        <v>1471664137</v>
      </c>
      <c r="D266">
        <v>1441819193</v>
      </c>
      <c r="E266">
        <v>15514512</v>
      </c>
      <c r="F266">
        <v>1</v>
      </c>
      <c r="G266">
        <v>15514512</v>
      </c>
      <c r="H266">
        <v>1</v>
      </c>
      <c r="I266" t="s">
        <v>401</v>
      </c>
      <c r="J266" t="s">
        <v>3</v>
      </c>
      <c r="K266" t="s">
        <v>402</v>
      </c>
      <c r="L266">
        <v>1191</v>
      </c>
      <c r="N266">
        <v>1013</v>
      </c>
      <c r="O266" t="s">
        <v>403</v>
      </c>
      <c r="P266" t="s">
        <v>403</v>
      </c>
      <c r="Q266">
        <v>1</v>
      </c>
      <c r="X266">
        <v>0.33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1</v>
      </c>
      <c r="AE266">
        <v>1</v>
      </c>
      <c r="AF266" t="s">
        <v>3</v>
      </c>
      <c r="AG266">
        <v>0.33</v>
      </c>
      <c r="AH266">
        <v>3</v>
      </c>
      <c r="AI266">
        <v>-1</v>
      </c>
      <c r="AJ266" t="s">
        <v>3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</row>
    <row r="267" spans="1:44" x14ac:dyDescent="0.2">
      <c r="A267">
        <f>ROW(Source!A437)</f>
        <v>437</v>
      </c>
      <c r="B267">
        <v>1471742820</v>
      </c>
      <c r="C267">
        <v>1471664141</v>
      </c>
      <c r="D267">
        <v>1441819193</v>
      </c>
      <c r="E267">
        <v>15514512</v>
      </c>
      <c r="F267">
        <v>1</v>
      </c>
      <c r="G267">
        <v>15514512</v>
      </c>
      <c r="H267">
        <v>1</v>
      </c>
      <c r="I267" t="s">
        <v>401</v>
      </c>
      <c r="J267" t="s">
        <v>3</v>
      </c>
      <c r="K267" t="s">
        <v>402</v>
      </c>
      <c r="L267">
        <v>1191</v>
      </c>
      <c r="N267">
        <v>1013</v>
      </c>
      <c r="O267" t="s">
        <v>403</v>
      </c>
      <c r="P267" t="s">
        <v>403</v>
      </c>
      <c r="Q267">
        <v>1</v>
      </c>
      <c r="X267">
        <v>11.1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1</v>
      </c>
      <c r="AE267">
        <v>1</v>
      </c>
      <c r="AF267" t="s">
        <v>3</v>
      </c>
      <c r="AG267">
        <v>11.1</v>
      </c>
      <c r="AH267">
        <v>3</v>
      </c>
      <c r="AI267">
        <v>-1</v>
      </c>
      <c r="AJ267" t="s">
        <v>3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</row>
    <row r="268" spans="1:44" x14ac:dyDescent="0.2">
      <c r="A268">
        <f>ROW(Source!A437)</f>
        <v>437</v>
      </c>
      <c r="B268">
        <v>1471742821</v>
      </c>
      <c r="C268">
        <v>1471664141</v>
      </c>
      <c r="D268">
        <v>1441836237</v>
      </c>
      <c r="E268">
        <v>1</v>
      </c>
      <c r="F268">
        <v>1</v>
      </c>
      <c r="G268">
        <v>15514512</v>
      </c>
      <c r="H268">
        <v>3</v>
      </c>
      <c r="I268" t="s">
        <v>448</v>
      </c>
      <c r="J268" t="s">
        <v>449</v>
      </c>
      <c r="K268" t="s">
        <v>450</v>
      </c>
      <c r="L268">
        <v>1346</v>
      </c>
      <c r="N268">
        <v>1009</v>
      </c>
      <c r="O268" t="s">
        <v>411</v>
      </c>
      <c r="P268" t="s">
        <v>411</v>
      </c>
      <c r="Q268">
        <v>1</v>
      </c>
      <c r="X268">
        <v>0.06</v>
      </c>
      <c r="Y268">
        <v>375.16</v>
      </c>
      <c r="Z268">
        <v>0</v>
      </c>
      <c r="AA268">
        <v>0</v>
      </c>
      <c r="AB268">
        <v>0</v>
      </c>
      <c r="AC268">
        <v>0</v>
      </c>
      <c r="AD268">
        <v>1</v>
      </c>
      <c r="AE268">
        <v>0</v>
      </c>
      <c r="AF268" t="s">
        <v>3</v>
      </c>
      <c r="AG268">
        <v>0.06</v>
      </c>
      <c r="AH268">
        <v>3</v>
      </c>
      <c r="AI268">
        <v>-1</v>
      </c>
      <c r="AJ268" t="s">
        <v>3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</row>
    <row r="269" spans="1:44" x14ac:dyDescent="0.2">
      <c r="A269">
        <f>ROW(Source!A438)</f>
        <v>438</v>
      </c>
      <c r="B269">
        <v>1471742822</v>
      </c>
      <c r="C269">
        <v>1471664149</v>
      </c>
      <c r="D269">
        <v>1441819193</v>
      </c>
      <c r="E269">
        <v>15514512</v>
      </c>
      <c r="F269">
        <v>1</v>
      </c>
      <c r="G269">
        <v>15514512</v>
      </c>
      <c r="H269">
        <v>1</v>
      </c>
      <c r="I269" t="s">
        <v>401</v>
      </c>
      <c r="J269" t="s">
        <v>3</v>
      </c>
      <c r="K269" t="s">
        <v>402</v>
      </c>
      <c r="L269">
        <v>1191</v>
      </c>
      <c r="N269">
        <v>1013</v>
      </c>
      <c r="O269" t="s">
        <v>403</v>
      </c>
      <c r="P269" t="s">
        <v>403</v>
      </c>
      <c r="Q269">
        <v>1</v>
      </c>
      <c r="X269">
        <v>0.38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1</v>
      </c>
      <c r="AE269">
        <v>1</v>
      </c>
      <c r="AF269" t="s">
        <v>3</v>
      </c>
      <c r="AG269">
        <v>0.38</v>
      </c>
      <c r="AH269">
        <v>3</v>
      </c>
      <c r="AI269">
        <v>-1</v>
      </c>
      <c r="AJ269" t="s">
        <v>3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</row>
    <row r="270" spans="1:44" x14ac:dyDescent="0.2">
      <c r="A270">
        <f>ROW(Source!A440)</f>
        <v>440</v>
      </c>
      <c r="B270">
        <v>1471742823</v>
      </c>
      <c r="C270">
        <v>1471664154</v>
      </c>
      <c r="D270">
        <v>1441819193</v>
      </c>
      <c r="E270">
        <v>15514512</v>
      </c>
      <c r="F270">
        <v>1</v>
      </c>
      <c r="G270">
        <v>15514512</v>
      </c>
      <c r="H270">
        <v>1</v>
      </c>
      <c r="I270" t="s">
        <v>401</v>
      </c>
      <c r="J270" t="s">
        <v>3</v>
      </c>
      <c r="K270" t="s">
        <v>402</v>
      </c>
      <c r="L270">
        <v>1191</v>
      </c>
      <c r="N270">
        <v>1013</v>
      </c>
      <c r="O270" t="s">
        <v>403</v>
      </c>
      <c r="P270" t="s">
        <v>403</v>
      </c>
      <c r="Q270">
        <v>1</v>
      </c>
      <c r="X270">
        <v>10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1</v>
      </c>
      <c r="AE270">
        <v>1</v>
      </c>
      <c r="AF270" t="s">
        <v>3</v>
      </c>
      <c r="AG270">
        <v>10</v>
      </c>
      <c r="AH270">
        <v>3</v>
      </c>
      <c r="AI270">
        <v>-1</v>
      </c>
      <c r="AJ270" t="s">
        <v>3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</row>
    <row r="271" spans="1:44" x14ac:dyDescent="0.2">
      <c r="A271">
        <f>ROW(Source!A440)</f>
        <v>440</v>
      </c>
      <c r="B271">
        <v>1471742824</v>
      </c>
      <c r="C271">
        <v>1471664154</v>
      </c>
      <c r="D271">
        <v>1441836237</v>
      </c>
      <c r="E271">
        <v>1</v>
      </c>
      <c r="F271">
        <v>1</v>
      </c>
      <c r="G271">
        <v>15514512</v>
      </c>
      <c r="H271">
        <v>3</v>
      </c>
      <c r="I271" t="s">
        <v>448</v>
      </c>
      <c r="J271" t="s">
        <v>449</v>
      </c>
      <c r="K271" t="s">
        <v>450</v>
      </c>
      <c r="L271">
        <v>1346</v>
      </c>
      <c r="N271">
        <v>1009</v>
      </c>
      <c r="O271" t="s">
        <v>411</v>
      </c>
      <c r="P271" t="s">
        <v>411</v>
      </c>
      <c r="Q271">
        <v>1</v>
      </c>
      <c r="X271">
        <v>0.06</v>
      </c>
      <c r="Y271">
        <v>375.16</v>
      </c>
      <c r="Z271">
        <v>0</v>
      </c>
      <c r="AA271">
        <v>0</v>
      </c>
      <c r="AB271">
        <v>0</v>
      </c>
      <c r="AC271">
        <v>0</v>
      </c>
      <c r="AD271">
        <v>1</v>
      </c>
      <c r="AE271">
        <v>0</v>
      </c>
      <c r="AF271" t="s">
        <v>3</v>
      </c>
      <c r="AG271">
        <v>0.06</v>
      </c>
      <c r="AH271">
        <v>3</v>
      </c>
      <c r="AI271">
        <v>-1</v>
      </c>
      <c r="AJ271" t="s">
        <v>3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</row>
    <row r="272" spans="1:44" x14ac:dyDescent="0.2">
      <c r="A272">
        <f>ROW(Source!A441)</f>
        <v>441</v>
      </c>
      <c r="B272">
        <v>1471742825</v>
      </c>
      <c r="C272">
        <v>1471664182</v>
      </c>
      <c r="D272">
        <v>1441819193</v>
      </c>
      <c r="E272">
        <v>15514512</v>
      </c>
      <c r="F272">
        <v>1</v>
      </c>
      <c r="G272">
        <v>15514512</v>
      </c>
      <c r="H272">
        <v>1</v>
      </c>
      <c r="I272" t="s">
        <v>401</v>
      </c>
      <c r="J272" t="s">
        <v>3</v>
      </c>
      <c r="K272" t="s">
        <v>402</v>
      </c>
      <c r="L272">
        <v>1191</v>
      </c>
      <c r="N272">
        <v>1013</v>
      </c>
      <c r="O272" t="s">
        <v>403</v>
      </c>
      <c r="P272" t="s">
        <v>403</v>
      </c>
      <c r="Q272">
        <v>1</v>
      </c>
      <c r="X272">
        <v>0.33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1</v>
      </c>
      <c r="AE272">
        <v>1</v>
      </c>
      <c r="AF272" t="s">
        <v>3</v>
      </c>
      <c r="AG272">
        <v>0.33</v>
      </c>
      <c r="AH272">
        <v>3</v>
      </c>
      <c r="AI272">
        <v>-1</v>
      </c>
      <c r="AJ272" t="s">
        <v>3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</row>
    <row r="273" spans="1:44" x14ac:dyDescent="0.2">
      <c r="A273">
        <f>ROW(Source!A511)</f>
        <v>511</v>
      </c>
      <c r="B273">
        <v>1471742826</v>
      </c>
      <c r="C273">
        <v>1471664186</v>
      </c>
      <c r="D273">
        <v>1441819193</v>
      </c>
      <c r="E273">
        <v>15514512</v>
      </c>
      <c r="F273">
        <v>1</v>
      </c>
      <c r="G273">
        <v>15514512</v>
      </c>
      <c r="H273">
        <v>1</v>
      </c>
      <c r="I273" t="s">
        <v>401</v>
      </c>
      <c r="J273" t="s">
        <v>3</v>
      </c>
      <c r="K273" t="s">
        <v>402</v>
      </c>
      <c r="L273">
        <v>1191</v>
      </c>
      <c r="N273">
        <v>1013</v>
      </c>
      <c r="O273" t="s">
        <v>403</v>
      </c>
      <c r="P273" t="s">
        <v>403</v>
      </c>
      <c r="Q273">
        <v>1</v>
      </c>
      <c r="X273">
        <v>1.26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1</v>
      </c>
      <c r="AE273">
        <v>1</v>
      </c>
      <c r="AF273" t="s">
        <v>46</v>
      </c>
      <c r="AG273">
        <v>21.42</v>
      </c>
      <c r="AH273">
        <v>3</v>
      </c>
      <c r="AI273">
        <v>-1</v>
      </c>
      <c r="AJ273" t="s">
        <v>3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</row>
    <row r="274" spans="1:44" x14ac:dyDescent="0.2">
      <c r="A274">
        <f>ROW(Source!A512)</f>
        <v>512</v>
      </c>
      <c r="B274">
        <v>1471742827</v>
      </c>
      <c r="C274">
        <v>1471664190</v>
      </c>
      <c r="D274">
        <v>1441819193</v>
      </c>
      <c r="E274">
        <v>15514512</v>
      </c>
      <c r="F274">
        <v>1</v>
      </c>
      <c r="G274">
        <v>15514512</v>
      </c>
      <c r="H274">
        <v>1</v>
      </c>
      <c r="I274" t="s">
        <v>401</v>
      </c>
      <c r="J274" t="s">
        <v>3</v>
      </c>
      <c r="K274" t="s">
        <v>402</v>
      </c>
      <c r="L274">
        <v>1191</v>
      </c>
      <c r="N274">
        <v>1013</v>
      </c>
      <c r="O274" t="s">
        <v>403</v>
      </c>
      <c r="P274" t="s">
        <v>403</v>
      </c>
      <c r="Q274">
        <v>1</v>
      </c>
      <c r="X274">
        <v>0.23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1</v>
      </c>
      <c r="AE274">
        <v>1</v>
      </c>
      <c r="AF274" t="s">
        <v>46</v>
      </c>
      <c r="AG274">
        <v>3.91</v>
      </c>
      <c r="AH274">
        <v>3</v>
      </c>
      <c r="AI274">
        <v>-1</v>
      </c>
      <c r="AJ274" t="s">
        <v>3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</row>
    <row r="275" spans="1:44" x14ac:dyDescent="0.2">
      <c r="A275">
        <f>ROW(Source!A513)</f>
        <v>513</v>
      </c>
      <c r="B275">
        <v>1471742828</v>
      </c>
      <c r="C275">
        <v>1471664194</v>
      </c>
      <c r="D275">
        <v>1441819193</v>
      </c>
      <c r="E275">
        <v>15514512</v>
      </c>
      <c r="F275">
        <v>1</v>
      </c>
      <c r="G275">
        <v>15514512</v>
      </c>
      <c r="H275">
        <v>1</v>
      </c>
      <c r="I275" t="s">
        <v>401</v>
      </c>
      <c r="J275" t="s">
        <v>3</v>
      </c>
      <c r="K275" t="s">
        <v>402</v>
      </c>
      <c r="L275">
        <v>1191</v>
      </c>
      <c r="N275">
        <v>1013</v>
      </c>
      <c r="O275" t="s">
        <v>403</v>
      </c>
      <c r="P275" t="s">
        <v>403</v>
      </c>
      <c r="Q275">
        <v>1</v>
      </c>
      <c r="X275">
        <v>104.44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1</v>
      </c>
      <c r="AE275">
        <v>1</v>
      </c>
      <c r="AF275" t="s">
        <v>3</v>
      </c>
      <c r="AG275">
        <v>104.44</v>
      </c>
      <c r="AH275">
        <v>3</v>
      </c>
      <c r="AI275">
        <v>-1</v>
      </c>
      <c r="AJ275" t="s">
        <v>3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</row>
    <row r="276" spans="1:44" x14ac:dyDescent="0.2">
      <c r="A276">
        <f>ROW(Source!A513)</f>
        <v>513</v>
      </c>
      <c r="B276">
        <v>1471742829</v>
      </c>
      <c r="C276">
        <v>1471664194</v>
      </c>
      <c r="D276">
        <v>1441834334</v>
      </c>
      <c r="E276">
        <v>1</v>
      </c>
      <c r="F276">
        <v>1</v>
      </c>
      <c r="G276">
        <v>15514512</v>
      </c>
      <c r="H276">
        <v>2</v>
      </c>
      <c r="I276" t="s">
        <v>412</v>
      </c>
      <c r="J276" t="s">
        <v>413</v>
      </c>
      <c r="K276" t="s">
        <v>414</v>
      </c>
      <c r="L276">
        <v>1368</v>
      </c>
      <c r="N276">
        <v>1011</v>
      </c>
      <c r="O276" t="s">
        <v>407</v>
      </c>
      <c r="P276" t="s">
        <v>407</v>
      </c>
      <c r="Q276">
        <v>1</v>
      </c>
      <c r="X276">
        <v>5.8</v>
      </c>
      <c r="Y276">
        <v>0</v>
      </c>
      <c r="Z276">
        <v>10.66</v>
      </c>
      <c r="AA276">
        <v>0.12</v>
      </c>
      <c r="AB276">
        <v>0</v>
      </c>
      <c r="AC276">
        <v>0</v>
      </c>
      <c r="AD276">
        <v>1</v>
      </c>
      <c r="AE276">
        <v>0</v>
      </c>
      <c r="AF276" t="s">
        <v>3</v>
      </c>
      <c r="AG276">
        <v>5.8</v>
      </c>
      <c r="AH276">
        <v>3</v>
      </c>
      <c r="AI276">
        <v>-1</v>
      </c>
      <c r="AJ276" t="s">
        <v>3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</row>
    <row r="277" spans="1:44" x14ac:dyDescent="0.2">
      <c r="A277">
        <f>ROW(Source!A513)</f>
        <v>513</v>
      </c>
      <c r="B277">
        <v>1471742831</v>
      </c>
      <c r="C277">
        <v>1471664194</v>
      </c>
      <c r="D277">
        <v>1441834443</v>
      </c>
      <c r="E277">
        <v>1</v>
      </c>
      <c r="F277">
        <v>1</v>
      </c>
      <c r="G277">
        <v>15514512</v>
      </c>
      <c r="H277">
        <v>3</v>
      </c>
      <c r="I277" t="s">
        <v>415</v>
      </c>
      <c r="J277" t="s">
        <v>416</v>
      </c>
      <c r="K277" t="s">
        <v>417</v>
      </c>
      <c r="L277">
        <v>1296</v>
      </c>
      <c r="N277">
        <v>1002</v>
      </c>
      <c r="O277" t="s">
        <v>418</v>
      </c>
      <c r="P277" t="s">
        <v>418</v>
      </c>
      <c r="Q277">
        <v>1</v>
      </c>
      <c r="X277">
        <v>0.31</v>
      </c>
      <c r="Y277">
        <v>785.72</v>
      </c>
      <c r="Z277">
        <v>0</v>
      </c>
      <c r="AA277">
        <v>0</v>
      </c>
      <c r="AB277">
        <v>0</v>
      </c>
      <c r="AC277">
        <v>0</v>
      </c>
      <c r="AD277">
        <v>1</v>
      </c>
      <c r="AE277">
        <v>0</v>
      </c>
      <c r="AF277" t="s">
        <v>3</v>
      </c>
      <c r="AG277">
        <v>0.31</v>
      </c>
      <c r="AH277">
        <v>3</v>
      </c>
      <c r="AI277">
        <v>-1</v>
      </c>
      <c r="AJ277" t="s">
        <v>3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</row>
    <row r="278" spans="1:44" x14ac:dyDescent="0.2">
      <c r="A278">
        <f>ROW(Source!A513)</f>
        <v>513</v>
      </c>
      <c r="B278">
        <v>1471742832</v>
      </c>
      <c r="C278">
        <v>1471664194</v>
      </c>
      <c r="D278">
        <v>1441821225</v>
      </c>
      <c r="E278">
        <v>15514512</v>
      </c>
      <c r="F278">
        <v>1</v>
      </c>
      <c r="G278">
        <v>15514512</v>
      </c>
      <c r="H278">
        <v>3</v>
      </c>
      <c r="I278" t="s">
        <v>419</v>
      </c>
      <c r="J278" t="s">
        <v>3</v>
      </c>
      <c r="K278" t="s">
        <v>420</v>
      </c>
      <c r="L278">
        <v>1346</v>
      </c>
      <c r="N278">
        <v>1009</v>
      </c>
      <c r="O278" t="s">
        <v>411</v>
      </c>
      <c r="P278" t="s">
        <v>411</v>
      </c>
      <c r="Q278">
        <v>1</v>
      </c>
      <c r="X278">
        <v>1.08</v>
      </c>
      <c r="Y278">
        <v>292.57515999999998</v>
      </c>
      <c r="Z278">
        <v>0</v>
      </c>
      <c r="AA278">
        <v>0</v>
      </c>
      <c r="AB278">
        <v>0</v>
      </c>
      <c r="AC278">
        <v>0</v>
      </c>
      <c r="AD278">
        <v>1</v>
      </c>
      <c r="AE278">
        <v>0</v>
      </c>
      <c r="AF278" t="s">
        <v>3</v>
      </c>
      <c r="AG278">
        <v>1.08</v>
      </c>
      <c r="AH278">
        <v>3</v>
      </c>
      <c r="AI278">
        <v>-1</v>
      </c>
      <c r="AJ278" t="s">
        <v>3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</row>
    <row r="279" spans="1:44" x14ac:dyDescent="0.2">
      <c r="A279">
        <f>ROW(Source!A513)</f>
        <v>513</v>
      </c>
      <c r="B279">
        <v>1471742830</v>
      </c>
      <c r="C279">
        <v>1471664194</v>
      </c>
      <c r="D279">
        <v>1441821223</v>
      </c>
      <c r="E279">
        <v>15514512</v>
      </c>
      <c r="F279">
        <v>1</v>
      </c>
      <c r="G279">
        <v>15514512</v>
      </c>
      <c r="H279">
        <v>3</v>
      </c>
      <c r="I279" t="s">
        <v>421</v>
      </c>
      <c r="J279" t="s">
        <v>3</v>
      </c>
      <c r="K279" t="s">
        <v>422</v>
      </c>
      <c r="L279">
        <v>1346</v>
      </c>
      <c r="N279">
        <v>1009</v>
      </c>
      <c r="O279" t="s">
        <v>411</v>
      </c>
      <c r="P279" t="s">
        <v>411</v>
      </c>
      <c r="Q279">
        <v>1</v>
      </c>
      <c r="X279">
        <v>0.98</v>
      </c>
      <c r="Y279">
        <v>221.4237</v>
      </c>
      <c r="Z279">
        <v>0</v>
      </c>
      <c r="AA279">
        <v>0</v>
      </c>
      <c r="AB279">
        <v>0</v>
      </c>
      <c r="AC279">
        <v>0</v>
      </c>
      <c r="AD279">
        <v>1</v>
      </c>
      <c r="AE279">
        <v>0</v>
      </c>
      <c r="AF279" t="s">
        <v>3</v>
      </c>
      <c r="AG279">
        <v>0.98</v>
      </c>
      <c r="AH279">
        <v>3</v>
      </c>
      <c r="AI279">
        <v>-1</v>
      </c>
      <c r="AJ279" t="s">
        <v>3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</row>
    <row r="280" spans="1:44" x14ac:dyDescent="0.2">
      <c r="A280">
        <f>ROW(Source!A514)</f>
        <v>514</v>
      </c>
      <c r="B280">
        <v>1471742833</v>
      </c>
      <c r="C280">
        <v>1471664210</v>
      </c>
      <c r="D280">
        <v>1441819193</v>
      </c>
      <c r="E280">
        <v>15514512</v>
      </c>
      <c r="F280">
        <v>1</v>
      </c>
      <c r="G280">
        <v>15514512</v>
      </c>
      <c r="H280">
        <v>1</v>
      </c>
      <c r="I280" t="s">
        <v>401</v>
      </c>
      <c r="J280" t="s">
        <v>3</v>
      </c>
      <c r="K280" t="s">
        <v>402</v>
      </c>
      <c r="L280">
        <v>1191</v>
      </c>
      <c r="N280">
        <v>1013</v>
      </c>
      <c r="O280" t="s">
        <v>403</v>
      </c>
      <c r="P280" t="s">
        <v>403</v>
      </c>
      <c r="Q280">
        <v>1</v>
      </c>
      <c r="X280">
        <v>151.93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1</v>
      </c>
      <c r="AE280">
        <v>1</v>
      </c>
      <c r="AF280" t="s">
        <v>3</v>
      </c>
      <c r="AG280">
        <v>151.93</v>
      </c>
      <c r="AH280">
        <v>3</v>
      </c>
      <c r="AI280">
        <v>-1</v>
      </c>
      <c r="AJ280" t="s">
        <v>3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</row>
    <row r="281" spans="1:44" x14ac:dyDescent="0.2">
      <c r="A281">
        <f>ROW(Source!A514)</f>
        <v>514</v>
      </c>
      <c r="B281">
        <v>1471742834</v>
      </c>
      <c r="C281">
        <v>1471664210</v>
      </c>
      <c r="D281">
        <v>1441834334</v>
      </c>
      <c r="E281">
        <v>1</v>
      </c>
      <c r="F281">
        <v>1</v>
      </c>
      <c r="G281">
        <v>15514512</v>
      </c>
      <c r="H281">
        <v>2</v>
      </c>
      <c r="I281" t="s">
        <v>412</v>
      </c>
      <c r="J281" t="s">
        <v>413</v>
      </c>
      <c r="K281" t="s">
        <v>414</v>
      </c>
      <c r="L281">
        <v>1368</v>
      </c>
      <c r="N281">
        <v>1011</v>
      </c>
      <c r="O281" t="s">
        <v>407</v>
      </c>
      <c r="P281" t="s">
        <v>407</v>
      </c>
      <c r="Q281">
        <v>1</v>
      </c>
      <c r="X281">
        <v>5.8</v>
      </c>
      <c r="Y281">
        <v>0</v>
      </c>
      <c r="Z281">
        <v>10.66</v>
      </c>
      <c r="AA281">
        <v>0.12</v>
      </c>
      <c r="AB281">
        <v>0</v>
      </c>
      <c r="AC281">
        <v>0</v>
      </c>
      <c r="AD281">
        <v>1</v>
      </c>
      <c r="AE281">
        <v>0</v>
      </c>
      <c r="AF281" t="s">
        <v>3</v>
      </c>
      <c r="AG281">
        <v>5.8</v>
      </c>
      <c r="AH281">
        <v>3</v>
      </c>
      <c r="AI281">
        <v>-1</v>
      </c>
      <c r="AJ281" t="s">
        <v>3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</row>
    <row r="282" spans="1:44" x14ac:dyDescent="0.2">
      <c r="A282">
        <f>ROW(Source!A514)</f>
        <v>514</v>
      </c>
      <c r="B282">
        <v>1471742836</v>
      </c>
      <c r="C282">
        <v>1471664210</v>
      </c>
      <c r="D282">
        <v>1441834443</v>
      </c>
      <c r="E282">
        <v>1</v>
      </c>
      <c r="F282">
        <v>1</v>
      </c>
      <c r="G282">
        <v>15514512</v>
      </c>
      <c r="H282">
        <v>3</v>
      </c>
      <c r="I282" t="s">
        <v>415</v>
      </c>
      <c r="J282" t="s">
        <v>416</v>
      </c>
      <c r="K282" t="s">
        <v>417</v>
      </c>
      <c r="L282">
        <v>1296</v>
      </c>
      <c r="N282">
        <v>1002</v>
      </c>
      <c r="O282" t="s">
        <v>418</v>
      </c>
      <c r="P282" t="s">
        <v>418</v>
      </c>
      <c r="Q282">
        <v>1</v>
      </c>
      <c r="X282">
        <v>0.31</v>
      </c>
      <c r="Y282">
        <v>785.72</v>
      </c>
      <c r="Z282">
        <v>0</v>
      </c>
      <c r="AA282">
        <v>0</v>
      </c>
      <c r="AB282">
        <v>0</v>
      </c>
      <c r="AC282">
        <v>0</v>
      </c>
      <c r="AD282">
        <v>1</v>
      </c>
      <c r="AE282">
        <v>0</v>
      </c>
      <c r="AF282" t="s">
        <v>3</v>
      </c>
      <c r="AG282">
        <v>0.31</v>
      </c>
      <c r="AH282">
        <v>3</v>
      </c>
      <c r="AI282">
        <v>-1</v>
      </c>
      <c r="AJ282" t="s">
        <v>3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</row>
    <row r="283" spans="1:44" x14ac:dyDescent="0.2">
      <c r="A283">
        <f>ROW(Source!A514)</f>
        <v>514</v>
      </c>
      <c r="B283">
        <v>1471742837</v>
      </c>
      <c r="C283">
        <v>1471664210</v>
      </c>
      <c r="D283">
        <v>1441821225</v>
      </c>
      <c r="E283">
        <v>15514512</v>
      </c>
      <c r="F283">
        <v>1</v>
      </c>
      <c r="G283">
        <v>15514512</v>
      </c>
      <c r="H283">
        <v>3</v>
      </c>
      <c r="I283" t="s">
        <v>419</v>
      </c>
      <c r="J283" t="s">
        <v>3</v>
      </c>
      <c r="K283" t="s">
        <v>420</v>
      </c>
      <c r="L283">
        <v>1346</v>
      </c>
      <c r="N283">
        <v>1009</v>
      </c>
      <c r="O283" t="s">
        <v>411</v>
      </c>
      <c r="P283" t="s">
        <v>411</v>
      </c>
      <c r="Q283">
        <v>1</v>
      </c>
      <c r="X283">
        <v>1.08</v>
      </c>
      <c r="Y283">
        <v>292.57515999999998</v>
      </c>
      <c r="Z283">
        <v>0</v>
      </c>
      <c r="AA283">
        <v>0</v>
      </c>
      <c r="AB283">
        <v>0</v>
      </c>
      <c r="AC283">
        <v>0</v>
      </c>
      <c r="AD283">
        <v>1</v>
      </c>
      <c r="AE283">
        <v>0</v>
      </c>
      <c r="AF283" t="s">
        <v>3</v>
      </c>
      <c r="AG283">
        <v>1.08</v>
      </c>
      <c r="AH283">
        <v>3</v>
      </c>
      <c r="AI283">
        <v>-1</v>
      </c>
      <c r="AJ283" t="s">
        <v>3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</row>
    <row r="284" spans="1:44" x14ac:dyDescent="0.2">
      <c r="A284">
        <f>ROW(Source!A514)</f>
        <v>514</v>
      </c>
      <c r="B284">
        <v>1471742835</v>
      </c>
      <c r="C284">
        <v>1471664210</v>
      </c>
      <c r="D284">
        <v>1441821223</v>
      </c>
      <c r="E284">
        <v>15514512</v>
      </c>
      <c r="F284">
        <v>1</v>
      </c>
      <c r="G284">
        <v>15514512</v>
      </c>
      <c r="H284">
        <v>3</v>
      </c>
      <c r="I284" t="s">
        <v>421</v>
      </c>
      <c r="J284" t="s">
        <v>3</v>
      </c>
      <c r="K284" t="s">
        <v>422</v>
      </c>
      <c r="L284">
        <v>1346</v>
      </c>
      <c r="N284">
        <v>1009</v>
      </c>
      <c r="O284" t="s">
        <v>411</v>
      </c>
      <c r="P284" t="s">
        <v>411</v>
      </c>
      <c r="Q284">
        <v>1</v>
      </c>
      <c r="X284">
        <v>0.98</v>
      </c>
      <c r="Y284">
        <v>221.4237</v>
      </c>
      <c r="Z284">
        <v>0</v>
      </c>
      <c r="AA284">
        <v>0</v>
      </c>
      <c r="AB284">
        <v>0</v>
      </c>
      <c r="AC284">
        <v>0</v>
      </c>
      <c r="AD284">
        <v>1</v>
      </c>
      <c r="AE284">
        <v>0</v>
      </c>
      <c r="AF284" t="s">
        <v>3</v>
      </c>
      <c r="AG284">
        <v>0.98</v>
      </c>
      <c r="AH284">
        <v>3</v>
      </c>
      <c r="AI284">
        <v>-1</v>
      </c>
      <c r="AJ284" t="s">
        <v>3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</row>
    <row r="285" spans="1:44" x14ac:dyDescent="0.2">
      <c r="A285">
        <f>ROW(Source!A515)</f>
        <v>515</v>
      </c>
      <c r="B285">
        <v>1471742838</v>
      </c>
      <c r="C285">
        <v>1471664227</v>
      </c>
      <c r="D285">
        <v>1441819193</v>
      </c>
      <c r="E285">
        <v>15514512</v>
      </c>
      <c r="F285">
        <v>1</v>
      </c>
      <c r="G285">
        <v>15514512</v>
      </c>
      <c r="H285">
        <v>1</v>
      </c>
      <c r="I285" t="s">
        <v>401</v>
      </c>
      <c r="J285" t="s">
        <v>3</v>
      </c>
      <c r="K285" t="s">
        <v>402</v>
      </c>
      <c r="L285">
        <v>1191</v>
      </c>
      <c r="N285">
        <v>1013</v>
      </c>
      <c r="O285" t="s">
        <v>403</v>
      </c>
      <c r="P285" t="s">
        <v>403</v>
      </c>
      <c r="Q285">
        <v>1</v>
      </c>
      <c r="X285">
        <v>26.7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1</v>
      </c>
      <c r="AE285">
        <v>1</v>
      </c>
      <c r="AF285" t="s">
        <v>3</v>
      </c>
      <c r="AG285">
        <v>26.7</v>
      </c>
      <c r="AH285">
        <v>3</v>
      </c>
      <c r="AI285">
        <v>-1</v>
      </c>
      <c r="AJ285" t="s">
        <v>3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</row>
    <row r="286" spans="1:44" x14ac:dyDescent="0.2">
      <c r="A286">
        <f>ROW(Source!A516)</f>
        <v>516</v>
      </c>
      <c r="B286">
        <v>1471742842</v>
      </c>
      <c r="C286">
        <v>1471664231</v>
      </c>
      <c r="D286">
        <v>1441819193</v>
      </c>
      <c r="E286">
        <v>15514512</v>
      </c>
      <c r="F286">
        <v>1</v>
      </c>
      <c r="G286">
        <v>15514512</v>
      </c>
      <c r="H286">
        <v>1</v>
      </c>
      <c r="I286" t="s">
        <v>401</v>
      </c>
      <c r="J286" t="s">
        <v>3</v>
      </c>
      <c r="K286" t="s">
        <v>402</v>
      </c>
      <c r="L286">
        <v>1191</v>
      </c>
      <c r="N286">
        <v>1013</v>
      </c>
      <c r="O286" t="s">
        <v>403</v>
      </c>
      <c r="P286" t="s">
        <v>403</v>
      </c>
      <c r="Q286">
        <v>1</v>
      </c>
      <c r="X286">
        <v>0.82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1</v>
      </c>
      <c r="AE286">
        <v>1</v>
      </c>
      <c r="AF286" t="s">
        <v>27</v>
      </c>
      <c r="AG286">
        <v>6.56</v>
      </c>
      <c r="AH286">
        <v>3</v>
      </c>
      <c r="AI286">
        <v>-1</v>
      </c>
      <c r="AJ286" t="s">
        <v>3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</row>
    <row r="287" spans="1:44" x14ac:dyDescent="0.2">
      <c r="A287">
        <f>ROW(Source!A517)</f>
        <v>517</v>
      </c>
      <c r="B287">
        <v>1471743019</v>
      </c>
      <c r="C287">
        <v>1471664236</v>
      </c>
      <c r="D287">
        <v>1441819193</v>
      </c>
      <c r="E287">
        <v>15514512</v>
      </c>
      <c r="F287">
        <v>1</v>
      </c>
      <c r="G287">
        <v>15514512</v>
      </c>
      <c r="H287">
        <v>1</v>
      </c>
      <c r="I287" t="s">
        <v>401</v>
      </c>
      <c r="J287" t="s">
        <v>3</v>
      </c>
      <c r="K287" t="s">
        <v>402</v>
      </c>
      <c r="L287">
        <v>1191</v>
      </c>
      <c r="N287">
        <v>1013</v>
      </c>
      <c r="O287" t="s">
        <v>403</v>
      </c>
      <c r="P287" t="s">
        <v>403</v>
      </c>
      <c r="Q287">
        <v>1</v>
      </c>
      <c r="X287">
        <v>0.37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1</v>
      </c>
      <c r="AE287">
        <v>1</v>
      </c>
      <c r="AF287" t="s">
        <v>3</v>
      </c>
      <c r="AG287">
        <v>0.37</v>
      </c>
      <c r="AH287">
        <v>3</v>
      </c>
      <c r="AI287">
        <v>-1</v>
      </c>
      <c r="AJ287" t="s">
        <v>3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</row>
    <row r="288" spans="1:44" x14ac:dyDescent="0.2">
      <c r="A288">
        <f>ROW(Source!A517)</f>
        <v>517</v>
      </c>
      <c r="B288">
        <v>1471743020</v>
      </c>
      <c r="C288">
        <v>1471664236</v>
      </c>
      <c r="D288">
        <v>1441834258</v>
      </c>
      <c r="E288">
        <v>1</v>
      </c>
      <c r="F288">
        <v>1</v>
      </c>
      <c r="G288">
        <v>15514512</v>
      </c>
      <c r="H288">
        <v>2</v>
      </c>
      <c r="I288" t="s">
        <v>404</v>
      </c>
      <c r="J288" t="s">
        <v>405</v>
      </c>
      <c r="K288" t="s">
        <v>406</v>
      </c>
      <c r="L288">
        <v>1368</v>
      </c>
      <c r="N288">
        <v>1011</v>
      </c>
      <c r="O288" t="s">
        <v>407</v>
      </c>
      <c r="P288" t="s">
        <v>407</v>
      </c>
      <c r="Q288">
        <v>1</v>
      </c>
      <c r="X288">
        <v>0.06</v>
      </c>
      <c r="Y288">
        <v>0</v>
      </c>
      <c r="Z288">
        <v>1303.01</v>
      </c>
      <c r="AA288">
        <v>826.2</v>
      </c>
      <c r="AB288">
        <v>0</v>
      </c>
      <c r="AC288">
        <v>0</v>
      </c>
      <c r="AD288">
        <v>1</v>
      </c>
      <c r="AE288">
        <v>0</v>
      </c>
      <c r="AF288" t="s">
        <v>3</v>
      </c>
      <c r="AG288">
        <v>0.06</v>
      </c>
      <c r="AH288">
        <v>3</v>
      </c>
      <c r="AI288">
        <v>-1</v>
      </c>
      <c r="AJ288" t="s">
        <v>3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</row>
    <row r="289" spans="1:44" x14ac:dyDescent="0.2">
      <c r="A289">
        <f>ROW(Source!A518)</f>
        <v>518</v>
      </c>
      <c r="B289">
        <v>1471743601</v>
      </c>
      <c r="C289">
        <v>1471664243</v>
      </c>
      <c r="D289">
        <v>1441819193</v>
      </c>
      <c r="E289">
        <v>15514512</v>
      </c>
      <c r="F289">
        <v>1</v>
      </c>
      <c r="G289">
        <v>15514512</v>
      </c>
      <c r="H289">
        <v>1</v>
      </c>
      <c r="I289" t="s">
        <v>401</v>
      </c>
      <c r="J289" t="s">
        <v>3</v>
      </c>
      <c r="K289" t="s">
        <v>402</v>
      </c>
      <c r="L289">
        <v>1191</v>
      </c>
      <c r="N289">
        <v>1013</v>
      </c>
      <c r="O289" t="s">
        <v>403</v>
      </c>
      <c r="P289" t="s">
        <v>403</v>
      </c>
      <c r="Q289">
        <v>1</v>
      </c>
      <c r="X289">
        <v>28.02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1</v>
      </c>
      <c r="AE289">
        <v>1</v>
      </c>
      <c r="AF289" t="s">
        <v>20</v>
      </c>
      <c r="AG289">
        <v>112.08</v>
      </c>
      <c r="AH289">
        <v>3</v>
      </c>
      <c r="AI289">
        <v>-1</v>
      </c>
      <c r="AJ289" t="s">
        <v>3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</row>
    <row r="290" spans="1:44" x14ac:dyDescent="0.2">
      <c r="A290">
        <f>ROW(Source!A518)</f>
        <v>518</v>
      </c>
      <c r="B290">
        <v>1471743602</v>
      </c>
      <c r="C290">
        <v>1471664243</v>
      </c>
      <c r="D290">
        <v>1441834443</v>
      </c>
      <c r="E290">
        <v>1</v>
      </c>
      <c r="F290">
        <v>1</v>
      </c>
      <c r="G290">
        <v>15514512</v>
      </c>
      <c r="H290">
        <v>3</v>
      </c>
      <c r="I290" t="s">
        <v>415</v>
      </c>
      <c r="J290" t="s">
        <v>416</v>
      </c>
      <c r="K290" t="s">
        <v>417</v>
      </c>
      <c r="L290">
        <v>1296</v>
      </c>
      <c r="N290">
        <v>1002</v>
      </c>
      <c r="O290" t="s">
        <v>418</v>
      </c>
      <c r="P290" t="s">
        <v>418</v>
      </c>
      <c r="Q290">
        <v>1</v>
      </c>
      <c r="X290">
        <v>0.31</v>
      </c>
      <c r="Y290">
        <v>785.72</v>
      </c>
      <c r="Z290">
        <v>0</v>
      </c>
      <c r="AA290">
        <v>0</v>
      </c>
      <c r="AB290">
        <v>0</v>
      </c>
      <c r="AC290">
        <v>0</v>
      </c>
      <c r="AD290">
        <v>1</v>
      </c>
      <c r="AE290">
        <v>0</v>
      </c>
      <c r="AF290" t="s">
        <v>20</v>
      </c>
      <c r="AG290">
        <v>1.24</v>
      </c>
      <c r="AH290">
        <v>3</v>
      </c>
      <c r="AI290">
        <v>-1</v>
      </c>
      <c r="AJ290" t="s">
        <v>3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</row>
    <row r="291" spans="1:44" x14ac:dyDescent="0.2">
      <c r="A291">
        <f>ROW(Source!A519)</f>
        <v>519</v>
      </c>
      <c r="B291">
        <v>1471743742</v>
      </c>
      <c r="C291">
        <v>1471664250</v>
      </c>
      <c r="D291">
        <v>1441819193</v>
      </c>
      <c r="E291">
        <v>15514512</v>
      </c>
      <c r="F291">
        <v>1</v>
      </c>
      <c r="G291">
        <v>15514512</v>
      </c>
      <c r="H291">
        <v>1</v>
      </c>
      <c r="I291" t="s">
        <v>401</v>
      </c>
      <c r="J291" t="s">
        <v>3</v>
      </c>
      <c r="K291" t="s">
        <v>402</v>
      </c>
      <c r="L291">
        <v>1191</v>
      </c>
      <c r="N291">
        <v>1013</v>
      </c>
      <c r="O291" t="s">
        <v>403</v>
      </c>
      <c r="P291" t="s">
        <v>403</v>
      </c>
      <c r="Q291">
        <v>1</v>
      </c>
      <c r="X291">
        <v>0.37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1</v>
      </c>
      <c r="AE291">
        <v>1</v>
      </c>
      <c r="AF291" t="s">
        <v>3</v>
      </c>
      <c r="AG291">
        <v>0.37</v>
      </c>
      <c r="AH291">
        <v>3</v>
      </c>
      <c r="AI291">
        <v>-1</v>
      </c>
      <c r="AJ291" t="s">
        <v>3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</row>
    <row r="292" spans="1:44" x14ac:dyDescent="0.2">
      <c r="A292">
        <f>ROW(Source!A519)</f>
        <v>519</v>
      </c>
      <c r="B292">
        <v>1471743743</v>
      </c>
      <c r="C292">
        <v>1471664250</v>
      </c>
      <c r="D292">
        <v>1441834258</v>
      </c>
      <c r="E292">
        <v>1</v>
      </c>
      <c r="F292">
        <v>1</v>
      </c>
      <c r="G292">
        <v>15514512</v>
      </c>
      <c r="H292">
        <v>2</v>
      </c>
      <c r="I292" t="s">
        <v>404</v>
      </c>
      <c r="J292" t="s">
        <v>405</v>
      </c>
      <c r="K292" t="s">
        <v>406</v>
      </c>
      <c r="L292">
        <v>1368</v>
      </c>
      <c r="N292">
        <v>1011</v>
      </c>
      <c r="O292" t="s">
        <v>407</v>
      </c>
      <c r="P292" t="s">
        <v>407</v>
      </c>
      <c r="Q292">
        <v>1</v>
      </c>
      <c r="X292">
        <v>0.06</v>
      </c>
      <c r="Y292">
        <v>0</v>
      </c>
      <c r="Z292">
        <v>1303.01</v>
      </c>
      <c r="AA292">
        <v>826.2</v>
      </c>
      <c r="AB292">
        <v>0</v>
      </c>
      <c r="AC292">
        <v>0</v>
      </c>
      <c r="AD292">
        <v>1</v>
      </c>
      <c r="AE292">
        <v>0</v>
      </c>
      <c r="AF292" t="s">
        <v>3</v>
      </c>
      <c r="AG292">
        <v>0.06</v>
      </c>
      <c r="AH292">
        <v>3</v>
      </c>
      <c r="AI292">
        <v>-1</v>
      </c>
      <c r="AJ292" t="s">
        <v>3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</row>
    <row r="293" spans="1:44" x14ac:dyDescent="0.2">
      <c r="A293">
        <f>ROW(Source!A520)</f>
        <v>520</v>
      </c>
      <c r="B293">
        <v>1471743817</v>
      </c>
      <c r="C293">
        <v>1471664257</v>
      </c>
      <c r="D293">
        <v>1441819193</v>
      </c>
      <c r="E293">
        <v>15514512</v>
      </c>
      <c r="F293">
        <v>1</v>
      </c>
      <c r="G293">
        <v>15514512</v>
      </c>
      <c r="H293">
        <v>1</v>
      </c>
      <c r="I293" t="s">
        <v>401</v>
      </c>
      <c r="J293" t="s">
        <v>3</v>
      </c>
      <c r="K293" t="s">
        <v>402</v>
      </c>
      <c r="L293">
        <v>1191</v>
      </c>
      <c r="N293">
        <v>1013</v>
      </c>
      <c r="O293" t="s">
        <v>403</v>
      </c>
      <c r="P293" t="s">
        <v>403</v>
      </c>
      <c r="Q293">
        <v>1</v>
      </c>
      <c r="X293">
        <v>28.02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1</v>
      </c>
      <c r="AE293">
        <v>1</v>
      </c>
      <c r="AF293" t="s">
        <v>20</v>
      </c>
      <c r="AG293">
        <v>112.08</v>
      </c>
      <c r="AH293">
        <v>3</v>
      </c>
      <c r="AI293">
        <v>-1</v>
      </c>
      <c r="AJ293" t="s">
        <v>3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</row>
    <row r="294" spans="1:44" x14ac:dyDescent="0.2">
      <c r="A294">
        <f>ROW(Source!A520)</f>
        <v>520</v>
      </c>
      <c r="B294">
        <v>1471743818</v>
      </c>
      <c r="C294">
        <v>1471664257</v>
      </c>
      <c r="D294">
        <v>1441834443</v>
      </c>
      <c r="E294">
        <v>1</v>
      </c>
      <c r="F294">
        <v>1</v>
      </c>
      <c r="G294">
        <v>15514512</v>
      </c>
      <c r="H294">
        <v>3</v>
      </c>
      <c r="I294" t="s">
        <v>415</v>
      </c>
      <c r="J294" t="s">
        <v>416</v>
      </c>
      <c r="K294" t="s">
        <v>417</v>
      </c>
      <c r="L294">
        <v>1296</v>
      </c>
      <c r="N294">
        <v>1002</v>
      </c>
      <c r="O294" t="s">
        <v>418</v>
      </c>
      <c r="P294" t="s">
        <v>418</v>
      </c>
      <c r="Q294">
        <v>1</v>
      </c>
      <c r="X294">
        <v>0.31</v>
      </c>
      <c r="Y294">
        <v>785.72</v>
      </c>
      <c r="Z294">
        <v>0</v>
      </c>
      <c r="AA294">
        <v>0</v>
      </c>
      <c r="AB294">
        <v>0</v>
      </c>
      <c r="AC294">
        <v>0</v>
      </c>
      <c r="AD294">
        <v>1</v>
      </c>
      <c r="AE294">
        <v>0</v>
      </c>
      <c r="AF294" t="s">
        <v>20</v>
      </c>
      <c r="AG294">
        <v>1.24</v>
      </c>
      <c r="AH294">
        <v>3</v>
      </c>
      <c r="AI294">
        <v>-1</v>
      </c>
      <c r="AJ294" t="s">
        <v>3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</row>
    <row r="295" spans="1:44" x14ac:dyDescent="0.2">
      <c r="A295">
        <f>ROW(Source!A521)</f>
        <v>521</v>
      </c>
      <c r="B295">
        <v>1471743844</v>
      </c>
      <c r="C295">
        <v>1471664265</v>
      </c>
      <c r="D295">
        <v>1441819193</v>
      </c>
      <c r="E295">
        <v>15514512</v>
      </c>
      <c r="F295">
        <v>1</v>
      </c>
      <c r="G295">
        <v>15514512</v>
      </c>
      <c r="H295">
        <v>1</v>
      </c>
      <c r="I295" t="s">
        <v>401</v>
      </c>
      <c r="J295" t="s">
        <v>3</v>
      </c>
      <c r="K295" t="s">
        <v>402</v>
      </c>
      <c r="L295">
        <v>1191</v>
      </c>
      <c r="N295">
        <v>1013</v>
      </c>
      <c r="O295" t="s">
        <v>403</v>
      </c>
      <c r="P295" t="s">
        <v>403</v>
      </c>
      <c r="Q295">
        <v>1</v>
      </c>
      <c r="X295">
        <v>0.23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1</v>
      </c>
      <c r="AE295">
        <v>1</v>
      </c>
      <c r="AF295" t="s">
        <v>46</v>
      </c>
      <c r="AG295">
        <v>3.91</v>
      </c>
      <c r="AH295">
        <v>3</v>
      </c>
      <c r="AI295">
        <v>-1</v>
      </c>
      <c r="AJ295" t="s">
        <v>3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</row>
    <row r="296" spans="1:44" x14ac:dyDescent="0.2">
      <c r="A296">
        <f>ROW(Source!A522)</f>
        <v>522</v>
      </c>
      <c r="B296">
        <v>1471743857</v>
      </c>
      <c r="C296">
        <v>1471664269</v>
      </c>
      <c r="D296">
        <v>1441819193</v>
      </c>
      <c r="E296">
        <v>15514512</v>
      </c>
      <c r="F296">
        <v>1</v>
      </c>
      <c r="G296">
        <v>15514512</v>
      </c>
      <c r="H296">
        <v>1</v>
      </c>
      <c r="I296" t="s">
        <v>401</v>
      </c>
      <c r="J296" t="s">
        <v>3</v>
      </c>
      <c r="K296" t="s">
        <v>402</v>
      </c>
      <c r="L296">
        <v>1191</v>
      </c>
      <c r="N296">
        <v>1013</v>
      </c>
      <c r="O296" t="s">
        <v>403</v>
      </c>
      <c r="P296" t="s">
        <v>403</v>
      </c>
      <c r="Q296">
        <v>1</v>
      </c>
      <c r="X296">
        <v>0.37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1</v>
      </c>
      <c r="AE296">
        <v>1</v>
      </c>
      <c r="AF296" t="s">
        <v>3</v>
      </c>
      <c r="AG296">
        <v>0.37</v>
      </c>
      <c r="AH296">
        <v>3</v>
      </c>
      <c r="AI296">
        <v>-1</v>
      </c>
      <c r="AJ296" t="s">
        <v>3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</row>
    <row r="297" spans="1:44" x14ac:dyDescent="0.2">
      <c r="A297">
        <f>ROW(Source!A522)</f>
        <v>522</v>
      </c>
      <c r="B297">
        <v>1471743858</v>
      </c>
      <c r="C297">
        <v>1471664269</v>
      </c>
      <c r="D297">
        <v>1441834258</v>
      </c>
      <c r="E297">
        <v>1</v>
      </c>
      <c r="F297">
        <v>1</v>
      </c>
      <c r="G297">
        <v>15514512</v>
      </c>
      <c r="H297">
        <v>2</v>
      </c>
      <c r="I297" t="s">
        <v>404</v>
      </c>
      <c r="J297" t="s">
        <v>405</v>
      </c>
      <c r="K297" t="s">
        <v>406</v>
      </c>
      <c r="L297">
        <v>1368</v>
      </c>
      <c r="N297">
        <v>1011</v>
      </c>
      <c r="O297" t="s">
        <v>407</v>
      </c>
      <c r="P297" t="s">
        <v>407</v>
      </c>
      <c r="Q297">
        <v>1</v>
      </c>
      <c r="X297">
        <v>0.06</v>
      </c>
      <c r="Y297">
        <v>0</v>
      </c>
      <c r="Z297">
        <v>1303.01</v>
      </c>
      <c r="AA297">
        <v>826.2</v>
      </c>
      <c r="AB297">
        <v>0</v>
      </c>
      <c r="AC297">
        <v>0</v>
      </c>
      <c r="AD297">
        <v>1</v>
      </c>
      <c r="AE297">
        <v>0</v>
      </c>
      <c r="AF297" t="s">
        <v>3</v>
      </c>
      <c r="AG297">
        <v>0.06</v>
      </c>
      <c r="AH297">
        <v>3</v>
      </c>
      <c r="AI297">
        <v>-1</v>
      </c>
      <c r="AJ297" t="s">
        <v>3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</row>
    <row r="298" spans="1:44" x14ac:dyDescent="0.2">
      <c r="A298">
        <f>ROW(Source!A523)</f>
        <v>523</v>
      </c>
      <c r="B298">
        <v>1471743875</v>
      </c>
      <c r="C298">
        <v>1471664277</v>
      </c>
      <c r="D298">
        <v>1441819193</v>
      </c>
      <c r="E298">
        <v>15514512</v>
      </c>
      <c r="F298">
        <v>1</v>
      </c>
      <c r="G298">
        <v>15514512</v>
      </c>
      <c r="H298">
        <v>1</v>
      </c>
      <c r="I298" t="s">
        <v>401</v>
      </c>
      <c r="J298" t="s">
        <v>3</v>
      </c>
      <c r="K298" t="s">
        <v>402</v>
      </c>
      <c r="L298">
        <v>1191</v>
      </c>
      <c r="N298">
        <v>1013</v>
      </c>
      <c r="O298" t="s">
        <v>403</v>
      </c>
      <c r="P298" t="s">
        <v>403</v>
      </c>
      <c r="Q298">
        <v>1</v>
      </c>
      <c r="X298">
        <v>0.13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1</v>
      </c>
      <c r="AE298">
        <v>1</v>
      </c>
      <c r="AF298" t="s">
        <v>20</v>
      </c>
      <c r="AG298">
        <v>0.52</v>
      </c>
      <c r="AH298">
        <v>3</v>
      </c>
      <c r="AI298">
        <v>-1</v>
      </c>
      <c r="AJ298" t="s">
        <v>3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</row>
    <row r="299" spans="1:44" x14ac:dyDescent="0.2">
      <c r="A299">
        <f>ROW(Source!A524)</f>
        <v>524</v>
      </c>
      <c r="B299">
        <v>1471743891</v>
      </c>
      <c r="C299">
        <v>1471664281</v>
      </c>
      <c r="D299">
        <v>1441819193</v>
      </c>
      <c r="E299">
        <v>15514512</v>
      </c>
      <c r="F299">
        <v>1</v>
      </c>
      <c r="G299">
        <v>15514512</v>
      </c>
      <c r="H299">
        <v>1</v>
      </c>
      <c r="I299" t="s">
        <v>401</v>
      </c>
      <c r="J299" t="s">
        <v>3</v>
      </c>
      <c r="K299" t="s">
        <v>402</v>
      </c>
      <c r="L299">
        <v>1191</v>
      </c>
      <c r="N299">
        <v>1013</v>
      </c>
      <c r="O299" t="s">
        <v>403</v>
      </c>
      <c r="P299" t="s">
        <v>403</v>
      </c>
      <c r="Q299">
        <v>1</v>
      </c>
      <c r="X299">
        <v>0.9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1</v>
      </c>
      <c r="AE299">
        <v>1</v>
      </c>
      <c r="AF299" t="s">
        <v>20</v>
      </c>
      <c r="AG299">
        <v>3.6</v>
      </c>
      <c r="AH299">
        <v>3</v>
      </c>
      <c r="AI299">
        <v>-1</v>
      </c>
      <c r="AJ299" t="s">
        <v>3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</row>
    <row r="300" spans="1:44" x14ac:dyDescent="0.2">
      <c r="A300">
        <f>ROW(Source!A525)</f>
        <v>525</v>
      </c>
      <c r="B300">
        <v>1471743910</v>
      </c>
      <c r="C300">
        <v>1471664285</v>
      </c>
      <c r="D300">
        <v>1441819193</v>
      </c>
      <c r="E300">
        <v>15514512</v>
      </c>
      <c r="F300">
        <v>1</v>
      </c>
      <c r="G300">
        <v>15514512</v>
      </c>
      <c r="H300">
        <v>1</v>
      </c>
      <c r="I300" t="s">
        <v>401</v>
      </c>
      <c r="J300" t="s">
        <v>3</v>
      </c>
      <c r="K300" t="s">
        <v>402</v>
      </c>
      <c r="L300">
        <v>1191</v>
      </c>
      <c r="N300">
        <v>1013</v>
      </c>
      <c r="O300" t="s">
        <v>403</v>
      </c>
      <c r="P300" t="s">
        <v>403</v>
      </c>
      <c r="Q300">
        <v>1</v>
      </c>
      <c r="X300">
        <v>4.84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1</v>
      </c>
      <c r="AE300">
        <v>1</v>
      </c>
      <c r="AF300" t="s">
        <v>20</v>
      </c>
      <c r="AG300">
        <v>19.36</v>
      </c>
      <c r="AH300">
        <v>3</v>
      </c>
      <c r="AI300">
        <v>-1</v>
      </c>
      <c r="AJ300" t="s">
        <v>3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</row>
    <row r="301" spans="1:44" x14ac:dyDescent="0.2">
      <c r="A301">
        <f>ROW(Source!A526)</f>
        <v>526</v>
      </c>
      <c r="B301">
        <v>1471743932</v>
      </c>
      <c r="C301">
        <v>1471664289</v>
      </c>
      <c r="D301">
        <v>1441819193</v>
      </c>
      <c r="E301">
        <v>15514512</v>
      </c>
      <c r="F301">
        <v>1</v>
      </c>
      <c r="G301">
        <v>15514512</v>
      </c>
      <c r="H301">
        <v>1</v>
      </c>
      <c r="I301" t="s">
        <v>401</v>
      </c>
      <c r="J301" t="s">
        <v>3</v>
      </c>
      <c r="K301" t="s">
        <v>402</v>
      </c>
      <c r="L301">
        <v>1191</v>
      </c>
      <c r="N301">
        <v>1013</v>
      </c>
      <c r="O301" t="s">
        <v>403</v>
      </c>
      <c r="P301" t="s">
        <v>403</v>
      </c>
      <c r="Q301">
        <v>1</v>
      </c>
      <c r="X301">
        <v>29.54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1</v>
      </c>
      <c r="AE301">
        <v>1</v>
      </c>
      <c r="AF301" t="s">
        <v>3</v>
      </c>
      <c r="AG301">
        <v>29.54</v>
      </c>
      <c r="AH301">
        <v>3</v>
      </c>
      <c r="AI301">
        <v>-1</v>
      </c>
      <c r="AJ301" t="s">
        <v>3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</row>
    <row r="302" spans="1:44" x14ac:dyDescent="0.2">
      <c r="A302">
        <f>ROW(Source!A526)</f>
        <v>526</v>
      </c>
      <c r="B302">
        <v>1471743933</v>
      </c>
      <c r="C302">
        <v>1471664289</v>
      </c>
      <c r="D302">
        <v>1441835469</v>
      </c>
      <c r="E302">
        <v>1</v>
      </c>
      <c r="F302">
        <v>1</v>
      </c>
      <c r="G302">
        <v>15514512</v>
      </c>
      <c r="H302">
        <v>3</v>
      </c>
      <c r="I302" t="s">
        <v>423</v>
      </c>
      <c r="J302" t="s">
        <v>424</v>
      </c>
      <c r="K302" t="s">
        <v>425</v>
      </c>
      <c r="L302">
        <v>1348</v>
      </c>
      <c r="N302">
        <v>1009</v>
      </c>
      <c r="O302" t="s">
        <v>426</v>
      </c>
      <c r="P302" t="s">
        <v>426</v>
      </c>
      <c r="Q302">
        <v>1000</v>
      </c>
      <c r="X302">
        <v>5.0000000000000001E-3</v>
      </c>
      <c r="Y302">
        <v>163237.26999999999</v>
      </c>
      <c r="Z302">
        <v>0</v>
      </c>
      <c r="AA302">
        <v>0</v>
      </c>
      <c r="AB302">
        <v>0</v>
      </c>
      <c r="AC302">
        <v>0</v>
      </c>
      <c r="AD302">
        <v>1</v>
      </c>
      <c r="AE302">
        <v>0</v>
      </c>
      <c r="AF302" t="s">
        <v>3</v>
      </c>
      <c r="AG302">
        <v>5.0000000000000001E-3</v>
      </c>
      <c r="AH302">
        <v>3</v>
      </c>
      <c r="AI302">
        <v>-1</v>
      </c>
      <c r="AJ302" t="s">
        <v>3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</row>
    <row r="303" spans="1:44" x14ac:dyDescent="0.2">
      <c r="A303">
        <f>ROW(Source!A526)</f>
        <v>526</v>
      </c>
      <c r="B303">
        <v>1471743934</v>
      </c>
      <c r="C303">
        <v>1471664289</v>
      </c>
      <c r="D303">
        <v>1441836514</v>
      </c>
      <c r="E303">
        <v>1</v>
      </c>
      <c r="F303">
        <v>1</v>
      </c>
      <c r="G303">
        <v>15514512</v>
      </c>
      <c r="H303">
        <v>3</v>
      </c>
      <c r="I303" t="s">
        <v>427</v>
      </c>
      <c r="J303" t="s">
        <v>428</v>
      </c>
      <c r="K303" t="s">
        <v>429</v>
      </c>
      <c r="L303">
        <v>1339</v>
      </c>
      <c r="N303">
        <v>1007</v>
      </c>
      <c r="O303" t="s">
        <v>430</v>
      </c>
      <c r="P303" t="s">
        <v>430</v>
      </c>
      <c r="Q303">
        <v>1</v>
      </c>
      <c r="X303">
        <v>7.8</v>
      </c>
      <c r="Y303">
        <v>54.81</v>
      </c>
      <c r="Z303">
        <v>0</v>
      </c>
      <c r="AA303">
        <v>0</v>
      </c>
      <c r="AB303">
        <v>0</v>
      </c>
      <c r="AC303">
        <v>0</v>
      </c>
      <c r="AD303">
        <v>1</v>
      </c>
      <c r="AE303">
        <v>0</v>
      </c>
      <c r="AF303" t="s">
        <v>3</v>
      </c>
      <c r="AG303">
        <v>7.8</v>
      </c>
      <c r="AH303">
        <v>3</v>
      </c>
      <c r="AI303">
        <v>-1</v>
      </c>
      <c r="AJ303" t="s">
        <v>3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</row>
    <row r="304" spans="1:44" x14ac:dyDescent="0.2">
      <c r="A304">
        <f>ROW(Source!A526)</f>
        <v>526</v>
      </c>
      <c r="B304">
        <v>1471743935</v>
      </c>
      <c r="C304">
        <v>1471664289</v>
      </c>
      <c r="D304">
        <v>1441847238</v>
      </c>
      <c r="E304">
        <v>1</v>
      </c>
      <c r="F304">
        <v>1</v>
      </c>
      <c r="G304">
        <v>15514512</v>
      </c>
      <c r="H304">
        <v>3</v>
      </c>
      <c r="I304" t="s">
        <v>431</v>
      </c>
      <c r="J304" t="s">
        <v>432</v>
      </c>
      <c r="K304" t="s">
        <v>433</v>
      </c>
      <c r="L304">
        <v>1346</v>
      </c>
      <c r="N304">
        <v>1009</v>
      </c>
      <c r="O304" t="s">
        <v>411</v>
      </c>
      <c r="P304" t="s">
        <v>411</v>
      </c>
      <c r="Q304">
        <v>1</v>
      </c>
      <c r="X304">
        <v>2</v>
      </c>
      <c r="Y304">
        <v>742.26</v>
      </c>
      <c r="Z304">
        <v>0</v>
      </c>
      <c r="AA304">
        <v>0</v>
      </c>
      <c r="AB304">
        <v>0</v>
      </c>
      <c r="AC304">
        <v>0</v>
      </c>
      <c r="AD304">
        <v>1</v>
      </c>
      <c r="AE304">
        <v>0</v>
      </c>
      <c r="AF304" t="s">
        <v>3</v>
      </c>
      <c r="AG304">
        <v>2</v>
      </c>
      <c r="AH304">
        <v>3</v>
      </c>
      <c r="AI304">
        <v>-1</v>
      </c>
      <c r="AJ304" t="s">
        <v>3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</row>
    <row r="305" spans="1:44" x14ac:dyDescent="0.2">
      <c r="A305">
        <f>ROW(Source!A527)</f>
        <v>527</v>
      </c>
      <c r="B305">
        <v>1471743952</v>
      </c>
      <c r="C305">
        <v>1471664302</v>
      </c>
      <c r="D305">
        <v>1441819193</v>
      </c>
      <c r="E305">
        <v>15514512</v>
      </c>
      <c r="F305">
        <v>1</v>
      </c>
      <c r="G305">
        <v>15514512</v>
      </c>
      <c r="H305">
        <v>1</v>
      </c>
      <c r="I305" t="s">
        <v>401</v>
      </c>
      <c r="J305" t="s">
        <v>3</v>
      </c>
      <c r="K305" t="s">
        <v>402</v>
      </c>
      <c r="L305">
        <v>1191</v>
      </c>
      <c r="N305">
        <v>1013</v>
      </c>
      <c r="O305" t="s">
        <v>403</v>
      </c>
      <c r="P305" t="s">
        <v>403</v>
      </c>
      <c r="Q305">
        <v>1</v>
      </c>
      <c r="X305">
        <v>2.04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1</v>
      </c>
      <c r="AE305">
        <v>1</v>
      </c>
      <c r="AF305" t="s">
        <v>42</v>
      </c>
      <c r="AG305">
        <v>4.08</v>
      </c>
      <c r="AH305">
        <v>3</v>
      </c>
      <c r="AI305">
        <v>-1</v>
      </c>
      <c r="AJ305" t="s">
        <v>3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</row>
    <row r="306" spans="1:44" x14ac:dyDescent="0.2">
      <c r="A306">
        <f>ROW(Source!A528)</f>
        <v>528</v>
      </c>
      <c r="B306">
        <v>1471743969</v>
      </c>
      <c r="C306">
        <v>1471664306</v>
      </c>
      <c r="D306">
        <v>1441819193</v>
      </c>
      <c r="E306">
        <v>15514512</v>
      </c>
      <c r="F306">
        <v>1</v>
      </c>
      <c r="G306">
        <v>15514512</v>
      </c>
      <c r="H306">
        <v>1</v>
      </c>
      <c r="I306" t="s">
        <v>401</v>
      </c>
      <c r="J306" t="s">
        <v>3</v>
      </c>
      <c r="K306" t="s">
        <v>402</v>
      </c>
      <c r="L306">
        <v>1191</v>
      </c>
      <c r="N306">
        <v>1013</v>
      </c>
      <c r="O306" t="s">
        <v>403</v>
      </c>
      <c r="P306" t="s">
        <v>403</v>
      </c>
      <c r="Q306">
        <v>1</v>
      </c>
      <c r="X306">
        <v>0.37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1</v>
      </c>
      <c r="AE306">
        <v>1</v>
      </c>
      <c r="AF306" t="s">
        <v>42</v>
      </c>
      <c r="AG306">
        <v>0.74</v>
      </c>
      <c r="AH306">
        <v>3</v>
      </c>
      <c r="AI306">
        <v>-1</v>
      </c>
      <c r="AJ306" t="s">
        <v>3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</row>
    <row r="307" spans="1:44" x14ac:dyDescent="0.2">
      <c r="A307">
        <f>ROW(Source!A528)</f>
        <v>528</v>
      </c>
      <c r="B307">
        <v>1471743970</v>
      </c>
      <c r="C307">
        <v>1471664306</v>
      </c>
      <c r="D307">
        <v>1441834258</v>
      </c>
      <c r="E307">
        <v>1</v>
      </c>
      <c r="F307">
        <v>1</v>
      </c>
      <c r="G307">
        <v>15514512</v>
      </c>
      <c r="H307">
        <v>2</v>
      </c>
      <c r="I307" t="s">
        <v>404</v>
      </c>
      <c r="J307" t="s">
        <v>405</v>
      </c>
      <c r="K307" t="s">
        <v>406</v>
      </c>
      <c r="L307">
        <v>1368</v>
      </c>
      <c r="N307">
        <v>1011</v>
      </c>
      <c r="O307" t="s">
        <v>407</v>
      </c>
      <c r="P307" t="s">
        <v>407</v>
      </c>
      <c r="Q307">
        <v>1</v>
      </c>
      <c r="X307">
        <v>0.06</v>
      </c>
      <c r="Y307">
        <v>0</v>
      </c>
      <c r="Z307">
        <v>1303.01</v>
      </c>
      <c r="AA307">
        <v>826.2</v>
      </c>
      <c r="AB307">
        <v>0</v>
      </c>
      <c r="AC307">
        <v>0</v>
      </c>
      <c r="AD307">
        <v>1</v>
      </c>
      <c r="AE307">
        <v>0</v>
      </c>
      <c r="AF307" t="s">
        <v>42</v>
      </c>
      <c r="AG307">
        <v>0.12</v>
      </c>
      <c r="AH307">
        <v>3</v>
      </c>
      <c r="AI307">
        <v>-1</v>
      </c>
      <c r="AJ307" t="s">
        <v>3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</row>
    <row r="308" spans="1:44" x14ac:dyDescent="0.2">
      <c r="A308">
        <f>ROW(Source!A529)</f>
        <v>529</v>
      </c>
      <c r="B308">
        <v>1471743986</v>
      </c>
      <c r="C308">
        <v>1471664313</v>
      </c>
      <c r="D308">
        <v>1441819193</v>
      </c>
      <c r="E308">
        <v>15514512</v>
      </c>
      <c r="F308">
        <v>1</v>
      </c>
      <c r="G308">
        <v>15514512</v>
      </c>
      <c r="H308">
        <v>1</v>
      </c>
      <c r="I308" t="s">
        <v>401</v>
      </c>
      <c r="J308" t="s">
        <v>3</v>
      </c>
      <c r="K308" t="s">
        <v>402</v>
      </c>
      <c r="L308">
        <v>1191</v>
      </c>
      <c r="N308">
        <v>1013</v>
      </c>
      <c r="O308" t="s">
        <v>403</v>
      </c>
      <c r="P308" t="s">
        <v>403</v>
      </c>
      <c r="Q308">
        <v>1</v>
      </c>
      <c r="X308">
        <v>0.45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1</v>
      </c>
      <c r="AE308">
        <v>1</v>
      </c>
      <c r="AF308" t="s">
        <v>3</v>
      </c>
      <c r="AG308">
        <v>0.45</v>
      </c>
      <c r="AH308">
        <v>3</v>
      </c>
      <c r="AI308">
        <v>-1</v>
      </c>
      <c r="AJ308" t="s">
        <v>3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</row>
    <row r="309" spans="1:44" x14ac:dyDescent="0.2">
      <c r="A309">
        <f>ROW(Source!A530)</f>
        <v>530</v>
      </c>
      <c r="B309">
        <v>1471744000</v>
      </c>
      <c r="C309">
        <v>1471664317</v>
      </c>
      <c r="D309">
        <v>1441819193</v>
      </c>
      <c r="E309">
        <v>15514512</v>
      </c>
      <c r="F309">
        <v>1</v>
      </c>
      <c r="G309">
        <v>15514512</v>
      </c>
      <c r="H309">
        <v>1</v>
      </c>
      <c r="I309" t="s">
        <v>401</v>
      </c>
      <c r="J309" t="s">
        <v>3</v>
      </c>
      <c r="K309" t="s">
        <v>402</v>
      </c>
      <c r="L309">
        <v>1191</v>
      </c>
      <c r="N309">
        <v>1013</v>
      </c>
      <c r="O309" t="s">
        <v>403</v>
      </c>
      <c r="P309" t="s">
        <v>403</v>
      </c>
      <c r="Q309">
        <v>1</v>
      </c>
      <c r="X309">
        <v>1.75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1</v>
      </c>
      <c r="AE309">
        <v>1</v>
      </c>
      <c r="AF309" t="s">
        <v>3</v>
      </c>
      <c r="AG309">
        <v>1.75</v>
      </c>
      <c r="AH309">
        <v>3</v>
      </c>
      <c r="AI309">
        <v>-1</v>
      </c>
      <c r="AJ309" t="s">
        <v>3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</row>
    <row r="310" spans="1:44" x14ac:dyDescent="0.2">
      <c r="A310">
        <f>ROW(Source!A530)</f>
        <v>530</v>
      </c>
      <c r="B310">
        <v>1471744001</v>
      </c>
      <c r="C310">
        <v>1471664317</v>
      </c>
      <c r="D310">
        <v>1441834258</v>
      </c>
      <c r="E310">
        <v>1</v>
      </c>
      <c r="F310">
        <v>1</v>
      </c>
      <c r="G310">
        <v>15514512</v>
      </c>
      <c r="H310">
        <v>2</v>
      </c>
      <c r="I310" t="s">
        <v>404</v>
      </c>
      <c r="J310" t="s">
        <v>405</v>
      </c>
      <c r="K310" t="s">
        <v>406</v>
      </c>
      <c r="L310">
        <v>1368</v>
      </c>
      <c r="N310">
        <v>1011</v>
      </c>
      <c r="O310" t="s">
        <v>407</v>
      </c>
      <c r="P310" t="s">
        <v>407</v>
      </c>
      <c r="Q310">
        <v>1</v>
      </c>
      <c r="X310">
        <v>1.083</v>
      </c>
      <c r="Y310">
        <v>0</v>
      </c>
      <c r="Z310">
        <v>1303.01</v>
      </c>
      <c r="AA310">
        <v>826.2</v>
      </c>
      <c r="AB310">
        <v>0</v>
      </c>
      <c r="AC310">
        <v>0</v>
      </c>
      <c r="AD310">
        <v>1</v>
      </c>
      <c r="AE310">
        <v>0</v>
      </c>
      <c r="AF310" t="s">
        <v>3</v>
      </c>
      <c r="AG310">
        <v>1.083</v>
      </c>
      <c r="AH310">
        <v>3</v>
      </c>
      <c r="AI310">
        <v>-1</v>
      </c>
      <c r="AJ310" t="s">
        <v>3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</row>
    <row r="311" spans="1:44" x14ac:dyDescent="0.2">
      <c r="A311">
        <f>ROW(Source!A530)</f>
        <v>530</v>
      </c>
      <c r="B311">
        <v>1471744002</v>
      </c>
      <c r="C311">
        <v>1471664317</v>
      </c>
      <c r="D311">
        <v>1441836235</v>
      </c>
      <c r="E311">
        <v>1</v>
      </c>
      <c r="F311">
        <v>1</v>
      </c>
      <c r="G311">
        <v>15514512</v>
      </c>
      <c r="H311">
        <v>3</v>
      </c>
      <c r="I311" t="s">
        <v>408</v>
      </c>
      <c r="J311" t="s">
        <v>409</v>
      </c>
      <c r="K311" t="s">
        <v>410</v>
      </c>
      <c r="L311">
        <v>1346</v>
      </c>
      <c r="N311">
        <v>1009</v>
      </c>
      <c r="O311" t="s">
        <v>411</v>
      </c>
      <c r="P311" t="s">
        <v>411</v>
      </c>
      <c r="Q311">
        <v>1</v>
      </c>
      <c r="X311">
        <v>0.02</v>
      </c>
      <c r="Y311">
        <v>31.49</v>
      </c>
      <c r="Z311">
        <v>0</v>
      </c>
      <c r="AA311">
        <v>0</v>
      </c>
      <c r="AB311">
        <v>0</v>
      </c>
      <c r="AC311">
        <v>0</v>
      </c>
      <c r="AD311">
        <v>1</v>
      </c>
      <c r="AE311">
        <v>0</v>
      </c>
      <c r="AF311" t="s">
        <v>3</v>
      </c>
      <c r="AG311">
        <v>0.02</v>
      </c>
      <c r="AH311">
        <v>3</v>
      </c>
      <c r="AI311">
        <v>-1</v>
      </c>
      <c r="AJ311" t="s">
        <v>3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</row>
    <row r="312" spans="1:44" x14ac:dyDescent="0.2">
      <c r="A312">
        <f>ROW(Source!A531)</f>
        <v>531</v>
      </c>
      <c r="B312">
        <v>1471744015</v>
      </c>
      <c r="C312">
        <v>1471664327</v>
      </c>
      <c r="D312">
        <v>1441819193</v>
      </c>
      <c r="E312">
        <v>15514512</v>
      </c>
      <c r="F312">
        <v>1</v>
      </c>
      <c r="G312">
        <v>15514512</v>
      </c>
      <c r="H312">
        <v>1</v>
      </c>
      <c r="I312" t="s">
        <v>401</v>
      </c>
      <c r="J312" t="s">
        <v>3</v>
      </c>
      <c r="K312" t="s">
        <v>402</v>
      </c>
      <c r="L312">
        <v>1191</v>
      </c>
      <c r="N312">
        <v>1013</v>
      </c>
      <c r="O312" t="s">
        <v>403</v>
      </c>
      <c r="P312" t="s">
        <v>403</v>
      </c>
      <c r="Q312">
        <v>1</v>
      </c>
      <c r="X312">
        <v>13.9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1</v>
      </c>
      <c r="AE312">
        <v>1</v>
      </c>
      <c r="AF312" t="s">
        <v>311</v>
      </c>
      <c r="AG312">
        <v>3405.5</v>
      </c>
      <c r="AH312">
        <v>3</v>
      </c>
      <c r="AI312">
        <v>-1</v>
      </c>
      <c r="AJ312" t="s">
        <v>3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</row>
    <row r="313" spans="1:44" x14ac:dyDescent="0.2">
      <c r="A313">
        <f>ROW(Source!A531)</f>
        <v>531</v>
      </c>
      <c r="B313">
        <v>1471744016</v>
      </c>
      <c r="C313">
        <v>1471664327</v>
      </c>
      <c r="D313">
        <v>1441836372</v>
      </c>
      <c r="E313">
        <v>1</v>
      </c>
      <c r="F313">
        <v>1</v>
      </c>
      <c r="G313">
        <v>15514512</v>
      </c>
      <c r="H313">
        <v>3</v>
      </c>
      <c r="I313" t="s">
        <v>466</v>
      </c>
      <c r="J313" t="s">
        <v>467</v>
      </c>
      <c r="K313" t="s">
        <v>468</v>
      </c>
      <c r="L313">
        <v>1296</v>
      </c>
      <c r="N313">
        <v>1002</v>
      </c>
      <c r="O313" t="s">
        <v>418</v>
      </c>
      <c r="P313" t="s">
        <v>418</v>
      </c>
      <c r="Q313">
        <v>1</v>
      </c>
      <c r="X313">
        <v>0.5</v>
      </c>
      <c r="Y313">
        <v>111.42</v>
      </c>
      <c r="Z313">
        <v>0</v>
      </c>
      <c r="AA313">
        <v>0</v>
      </c>
      <c r="AB313">
        <v>0</v>
      </c>
      <c r="AC313">
        <v>0</v>
      </c>
      <c r="AD313">
        <v>1</v>
      </c>
      <c r="AE313">
        <v>0</v>
      </c>
      <c r="AF313" t="s">
        <v>311</v>
      </c>
      <c r="AG313">
        <v>122.5</v>
      </c>
      <c r="AH313">
        <v>3</v>
      </c>
      <c r="AI313">
        <v>-1</v>
      </c>
      <c r="AJ313" t="s">
        <v>3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</row>
    <row r="314" spans="1:44" x14ac:dyDescent="0.2">
      <c r="A314">
        <f>ROW(Source!A531)</f>
        <v>531</v>
      </c>
      <c r="B314">
        <v>1471744017</v>
      </c>
      <c r="C314">
        <v>1471664327</v>
      </c>
      <c r="D314">
        <v>1441836514</v>
      </c>
      <c r="E314">
        <v>1</v>
      </c>
      <c r="F314">
        <v>1</v>
      </c>
      <c r="G314">
        <v>15514512</v>
      </c>
      <c r="H314">
        <v>3</v>
      </c>
      <c r="I314" t="s">
        <v>427</v>
      </c>
      <c r="J314" t="s">
        <v>428</v>
      </c>
      <c r="K314" t="s">
        <v>429</v>
      </c>
      <c r="L314">
        <v>1339</v>
      </c>
      <c r="N314">
        <v>1007</v>
      </c>
      <c r="O314" t="s">
        <v>430</v>
      </c>
      <c r="P314" t="s">
        <v>430</v>
      </c>
      <c r="Q314">
        <v>1</v>
      </c>
      <c r="X314">
        <v>0.01</v>
      </c>
      <c r="Y314">
        <v>54.81</v>
      </c>
      <c r="Z314">
        <v>0</v>
      </c>
      <c r="AA314">
        <v>0</v>
      </c>
      <c r="AB314">
        <v>0</v>
      </c>
      <c r="AC314">
        <v>0</v>
      </c>
      <c r="AD314">
        <v>1</v>
      </c>
      <c r="AE314">
        <v>0</v>
      </c>
      <c r="AF314" t="s">
        <v>311</v>
      </c>
      <c r="AG314">
        <v>2.4500000000000002</v>
      </c>
      <c r="AH314">
        <v>3</v>
      </c>
      <c r="AI314">
        <v>-1</v>
      </c>
      <c r="AJ314" t="s">
        <v>3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</row>
    <row r="315" spans="1:44" x14ac:dyDescent="0.2">
      <c r="A315">
        <f>ROW(Source!A532)</f>
        <v>532</v>
      </c>
      <c r="B315">
        <v>1471744118</v>
      </c>
      <c r="C315">
        <v>1471664337</v>
      </c>
      <c r="D315">
        <v>1441819193</v>
      </c>
      <c r="E315">
        <v>15514512</v>
      </c>
      <c r="F315">
        <v>1</v>
      </c>
      <c r="G315">
        <v>15514512</v>
      </c>
      <c r="H315">
        <v>1</v>
      </c>
      <c r="I315" t="s">
        <v>401</v>
      </c>
      <c r="J315" t="s">
        <v>3</v>
      </c>
      <c r="K315" t="s">
        <v>402</v>
      </c>
      <c r="L315">
        <v>1191</v>
      </c>
      <c r="N315">
        <v>1013</v>
      </c>
      <c r="O315" t="s">
        <v>403</v>
      </c>
      <c r="P315" t="s">
        <v>403</v>
      </c>
      <c r="Q315">
        <v>1</v>
      </c>
      <c r="X315">
        <v>8.15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1</v>
      </c>
      <c r="AE315">
        <v>1</v>
      </c>
      <c r="AF315" t="s">
        <v>311</v>
      </c>
      <c r="AG315">
        <v>1996.75</v>
      </c>
      <c r="AH315">
        <v>3</v>
      </c>
      <c r="AI315">
        <v>-1</v>
      </c>
      <c r="AJ315" t="s">
        <v>3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</row>
    <row r="316" spans="1:44" x14ac:dyDescent="0.2">
      <c r="A316">
        <f>ROW(Source!A532)</f>
        <v>532</v>
      </c>
      <c r="B316">
        <v>1471744119</v>
      </c>
      <c r="C316">
        <v>1471664337</v>
      </c>
      <c r="D316">
        <v>1441836372</v>
      </c>
      <c r="E316">
        <v>1</v>
      </c>
      <c r="F316">
        <v>1</v>
      </c>
      <c r="G316">
        <v>15514512</v>
      </c>
      <c r="H316">
        <v>3</v>
      </c>
      <c r="I316" t="s">
        <v>466</v>
      </c>
      <c r="J316" t="s">
        <v>467</v>
      </c>
      <c r="K316" t="s">
        <v>468</v>
      </c>
      <c r="L316">
        <v>1296</v>
      </c>
      <c r="N316">
        <v>1002</v>
      </c>
      <c r="O316" t="s">
        <v>418</v>
      </c>
      <c r="P316" t="s">
        <v>418</v>
      </c>
      <c r="Q316">
        <v>1</v>
      </c>
      <c r="X316">
        <v>0.5</v>
      </c>
      <c r="Y316">
        <v>111.42</v>
      </c>
      <c r="Z316">
        <v>0</v>
      </c>
      <c r="AA316">
        <v>0</v>
      </c>
      <c r="AB316">
        <v>0</v>
      </c>
      <c r="AC316">
        <v>0</v>
      </c>
      <c r="AD316">
        <v>1</v>
      </c>
      <c r="AE316">
        <v>0</v>
      </c>
      <c r="AF316" t="s">
        <v>311</v>
      </c>
      <c r="AG316">
        <v>122.5</v>
      </c>
      <c r="AH316">
        <v>3</v>
      </c>
      <c r="AI316">
        <v>-1</v>
      </c>
      <c r="AJ316" t="s">
        <v>3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</row>
    <row r="317" spans="1:44" x14ac:dyDescent="0.2">
      <c r="A317">
        <f>ROW(Source!A532)</f>
        <v>532</v>
      </c>
      <c r="B317">
        <v>1471744120</v>
      </c>
      <c r="C317">
        <v>1471664337</v>
      </c>
      <c r="D317">
        <v>1441836514</v>
      </c>
      <c r="E317">
        <v>1</v>
      </c>
      <c r="F317">
        <v>1</v>
      </c>
      <c r="G317">
        <v>15514512</v>
      </c>
      <c r="H317">
        <v>3</v>
      </c>
      <c r="I317" t="s">
        <v>427</v>
      </c>
      <c r="J317" t="s">
        <v>428</v>
      </c>
      <c r="K317" t="s">
        <v>429</v>
      </c>
      <c r="L317">
        <v>1339</v>
      </c>
      <c r="N317">
        <v>1007</v>
      </c>
      <c r="O317" t="s">
        <v>430</v>
      </c>
      <c r="P317" t="s">
        <v>430</v>
      </c>
      <c r="Q317">
        <v>1</v>
      </c>
      <c r="X317">
        <v>0.01</v>
      </c>
      <c r="Y317">
        <v>54.81</v>
      </c>
      <c r="Z317">
        <v>0</v>
      </c>
      <c r="AA317">
        <v>0</v>
      </c>
      <c r="AB317">
        <v>0</v>
      </c>
      <c r="AC317">
        <v>0</v>
      </c>
      <c r="AD317">
        <v>1</v>
      </c>
      <c r="AE317">
        <v>0</v>
      </c>
      <c r="AF317" t="s">
        <v>311</v>
      </c>
      <c r="AG317">
        <v>2.4500000000000002</v>
      </c>
      <c r="AH317">
        <v>3</v>
      </c>
      <c r="AI317">
        <v>-1</v>
      </c>
      <c r="AJ317" t="s">
        <v>3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</row>
    <row r="318" spans="1:44" x14ac:dyDescent="0.2">
      <c r="A318">
        <f>ROW(Source!A568)</f>
        <v>568</v>
      </c>
      <c r="B318">
        <v>1471744127</v>
      </c>
      <c r="C318">
        <v>1471664348</v>
      </c>
      <c r="D318">
        <v>1441819193</v>
      </c>
      <c r="E318">
        <v>15514512</v>
      </c>
      <c r="F318">
        <v>1</v>
      </c>
      <c r="G318">
        <v>15514512</v>
      </c>
      <c r="H318">
        <v>1</v>
      </c>
      <c r="I318" t="s">
        <v>401</v>
      </c>
      <c r="J318" t="s">
        <v>3</v>
      </c>
      <c r="K318" t="s">
        <v>402</v>
      </c>
      <c r="L318">
        <v>1191</v>
      </c>
      <c r="N318">
        <v>1013</v>
      </c>
      <c r="O318" t="s">
        <v>403</v>
      </c>
      <c r="P318" t="s">
        <v>403</v>
      </c>
      <c r="Q318">
        <v>1</v>
      </c>
      <c r="X318">
        <v>1.59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1</v>
      </c>
      <c r="AE318">
        <v>1</v>
      </c>
      <c r="AF318" t="s">
        <v>3</v>
      </c>
      <c r="AG318">
        <v>1.59</v>
      </c>
      <c r="AH318">
        <v>3</v>
      </c>
      <c r="AI318">
        <v>-1</v>
      </c>
      <c r="AJ318" t="s">
        <v>3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</row>
    <row r="319" spans="1:44" x14ac:dyDescent="0.2">
      <c r="A319">
        <f>ROW(Source!A568)</f>
        <v>568</v>
      </c>
      <c r="B319">
        <v>1471744128</v>
      </c>
      <c r="C319">
        <v>1471664348</v>
      </c>
      <c r="D319">
        <v>1441836235</v>
      </c>
      <c r="E319">
        <v>1</v>
      </c>
      <c r="F319">
        <v>1</v>
      </c>
      <c r="G319">
        <v>15514512</v>
      </c>
      <c r="H319">
        <v>3</v>
      </c>
      <c r="I319" t="s">
        <v>408</v>
      </c>
      <c r="J319" t="s">
        <v>409</v>
      </c>
      <c r="K319" t="s">
        <v>410</v>
      </c>
      <c r="L319">
        <v>1346</v>
      </c>
      <c r="N319">
        <v>1009</v>
      </c>
      <c r="O319" t="s">
        <v>411</v>
      </c>
      <c r="P319" t="s">
        <v>411</v>
      </c>
      <c r="Q319">
        <v>1</v>
      </c>
      <c r="X319">
        <v>0.01</v>
      </c>
      <c r="Y319">
        <v>31.49</v>
      </c>
      <c r="Z319">
        <v>0</v>
      </c>
      <c r="AA319">
        <v>0</v>
      </c>
      <c r="AB319">
        <v>0</v>
      </c>
      <c r="AC319">
        <v>0</v>
      </c>
      <c r="AD319">
        <v>1</v>
      </c>
      <c r="AE319">
        <v>0</v>
      </c>
      <c r="AF319" t="s">
        <v>3</v>
      </c>
      <c r="AG319">
        <v>0.01</v>
      </c>
      <c r="AH319">
        <v>3</v>
      </c>
      <c r="AI319">
        <v>-1</v>
      </c>
      <c r="AJ319" t="s">
        <v>3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</row>
    <row r="320" spans="1:44" x14ac:dyDescent="0.2">
      <c r="A320">
        <f>ROW(Source!A569)</f>
        <v>569</v>
      </c>
      <c r="B320">
        <v>1471744152</v>
      </c>
      <c r="C320">
        <v>1471664355</v>
      </c>
      <c r="D320">
        <v>1441819193</v>
      </c>
      <c r="E320">
        <v>15514512</v>
      </c>
      <c r="F320">
        <v>1</v>
      </c>
      <c r="G320">
        <v>15514512</v>
      </c>
      <c r="H320">
        <v>1</v>
      </c>
      <c r="I320" t="s">
        <v>401</v>
      </c>
      <c r="J320" t="s">
        <v>3</v>
      </c>
      <c r="K320" t="s">
        <v>402</v>
      </c>
      <c r="L320">
        <v>1191</v>
      </c>
      <c r="N320">
        <v>1013</v>
      </c>
      <c r="O320" t="s">
        <v>403</v>
      </c>
      <c r="P320" t="s">
        <v>403</v>
      </c>
      <c r="Q320">
        <v>1</v>
      </c>
      <c r="X320">
        <v>0.14000000000000001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1</v>
      </c>
      <c r="AE320">
        <v>1</v>
      </c>
      <c r="AF320" t="s">
        <v>3</v>
      </c>
      <c r="AG320">
        <v>0.14000000000000001</v>
      </c>
      <c r="AH320">
        <v>3</v>
      </c>
      <c r="AI320">
        <v>-1</v>
      </c>
      <c r="AJ320" t="s">
        <v>3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0</v>
      </c>
      <c r="AR320">
        <v>0</v>
      </c>
    </row>
    <row r="321" spans="1:44" x14ac:dyDescent="0.2">
      <c r="A321">
        <f>ROW(Source!A569)</f>
        <v>569</v>
      </c>
      <c r="B321">
        <v>1471744153</v>
      </c>
      <c r="C321">
        <v>1471664355</v>
      </c>
      <c r="D321">
        <v>1441834213</v>
      </c>
      <c r="E321">
        <v>1</v>
      </c>
      <c r="F321">
        <v>1</v>
      </c>
      <c r="G321">
        <v>15514512</v>
      </c>
      <c r="H321">
        <v>2</v>
      </c>
      <c r="I321" t="s">
        <v>434</v>
      </c>
      <c r="J321" t="s">
        <v>435</v>
      </c>
      <c r="K321" t="s">
        <v>436</v>
      </c>
      <c r="L321">
        <v>1368</v>
      </c>
      <c r="N321">
        <v>1011</v>
      </c>
      <c r="O321" t="s">
        <v>407</v>
      </c>
      <c r="P321" t="s">
        <v>407</v>
      </c>
      <c r="Q321">
        <v>1</v>
      </c>
      <c r="X321">
        <v>0.03</v>
      </c>
      <c r="Y321">
        <v>0</v>
      </c>
      <c r="Z321">
        <v>7.68</v>
      </c>
      <c r="AA321">
        <v>0.05</v>
      </c>
      <c r="AB321">
        <v>0</v>
      </c>
      <c r="AC321">
        <v>0</v>
      </c>
      <c r="AD321">
        <v>1</v>
      </c>
      <c r="AE321">
        <v>0</v>
      </c>
      <c r="AF321" t="s">
        <v>3</v>
      </c>
      <c r="AG321">
        <v>0.03</v>
      </c>
      <c r="AH321">
        <v>3</v>
      </c>
      <c r="AI321">
        <v>-1</v>
      </c>
      <c r="AJ321" t="s">
        <v>3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</row>
    <row r="322" spans="1:44" x14ac:dyDescent="0.2">
      <c r="A322">
        <f>ROW(Source!A569)</f>
        <v>569</v>
      </c>
      <c r="B322">
        <v>1471744154</v>
      </c>
      <c r="C322">
        <v>1471664355</v>
      </c>
      <c r="D322">
        <v>1441836235</v>
      </c>
      <c r="E322">
        <v>1</v>
      </c>
      <c r="F322">
        <v>1</v>
      </c>
      <c r="G322">
        <v>15514512</v>
      </c>
      <c r="H322">
        <v>3</v>
      </c>
      <c r="I322" t="s">
        <v>408</v>
      </c>
      <c r="J322" t="s">
        <v>409</v>
      </c>
      <c r="K322" t="s">
        <v>410</v>
      </c>
      <c r="L322">
        <v>1346</v>
      </c>
      <c r="N322">
        <v>1009</v>
      </c>
      <c r="O322" t="s">
        <v>411</v>
      </c>
      <c r="P322" t="s">
        <v>411</v>
      </c>
      <c r="Q322">
        <v>1</v>
      </c>
      <c r="X322">
        <v>7.0000000000000007E-2</v>
      </c>
      <c r="Y322">
        <v>31.49</v>
      </c>
      <c r="Z322">
        <v>0</v>
      </c>
      <c r="AA322">
        <v>0</v>
      </c>
      <c r="AB322">
        <v>0</v>
      </c>
      <c r="AC322">
        <v>0</v>
      </c>
      <c r="AD322">
        <v>1</v>
      </c>
      <c r="AE322">
        <v>0</v>
      </c>
      <c r="AF322" t="s">
        <v>3</v>
      </c>
      <c r="AG322">
        <v>7.0000000000000007E-2</v>
      </c>
      <c r="AH322">
        <v>3</v>
      </c>
      <c r="AI322">
        <v>-1</v>
      </c>
      <c r="AJ322" t="s">
        <v>3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</row>
    <row r="323" spans="1:44" x14ac:dyDescent="0.2">
      <c r="A323">
        <f>ROW(Source!A570)</f>
        <v>570</v>
      </c>
      <c r="B323">
        <v>1471744177</v>
      </c>
      <c r="C323">
        <v>1471664383</v>
      </c>
      <c r="D323">
        <v>1441819193</v>
      </c>
      <c r="E323">
        <v>15514512</v>
      </c>
      <c r="F323">
        <v>1</v>
      </c>
      <c r="G323">
        <v>15514512</v>
      </c>
      <c r="H323">
        <v>1</v>
      </c>
      <c r="I323" t="s">
        <v>401</v>
      </c>
      <c r="J323" t="s">
        <v>3</v>
      </c>
      <c r="K323" t="s">
        <v>402</v>
      </c>
      <c r="L323">
        <v>1191</v>
      </c>
      <c r="N323">
        <v>1013</v>
      </c>
      <c r="O323" t="s">
        <v>403</v>
      </c>
      <c r="P323" t="s">
        <v>403</v>
      </c>
      <c r="Q323">
        <v>1</v>
      </c>
      <c r="X323">
        <v>0.41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1</v>
      </c>
      <c r="AE323">
        <v>1</v>
      </c>
      <c r="AF323" t="s">
        <v>163</v>
      </c>
      <c r="AG323">
        <v>1.23</v>
      </c>
      <c r="AH323">
        <v>3</v>
      </c>
      <c r="AI323">
        <v>-1</v>
      </c>
      <c r="AJ323" t="s">
        <v>3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</row>
    <row r="324" spans="1:44" x14ac:dyDescent="0.2">
      <c r="A324">
        <f>ROW(Source!A606)</f>
        <v>606</v>
      </c>
      <c r="B324">
        <v>1471744207</v>
      </c>
      <c r="C324">
        <v>1471664387</v>
      </c>
      <c r="D324">
        <v>1441819193</v>
      </c>
      <c r="E324">
        <v>15514512</v>
      </c>
      <c r="F324">
        <v>1</v>
      </c>
      <c r="G324">
        <v>15514512</v>
      </c>
      <c r="H324">
        <v>1</v>
      </c>
      <c r="I324" t="s">
        <v>401</v>
      </c>
      <c r="J324" t="s">
        <v>3</v>
      </c>
      <c r="K324" t="s">
        <v>402</v>
      </c>
      <c r="L324">
        <v>1191</v>
      </c>
      <c r="N324">
        <v>1013</v>
      </c>
      <c r="O324" t="s">
        <v>403</v>
      </c>
      <c r="P324" t="s">
        <v>403</v>
      </c>
      <c r="Q324">
        <v>1</v>
      </c>
      <c r="X324">
        <v>0.5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1</v>
      </c>
      <c r="AE324">
        <v>1</v>
      </c>
      <c r="AF324" t="s">
        <v>20</v>
      </c>
      <c r="AG324">
        <v>2</v>
      </c>
      <c r="AH324">
        <v>3</v>
      </c>
      <c r="AI324">
        <v>-1</v>
      </c>
      <c r="AJ324" t="s">
        <v>3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</row>
    <row r="325" spans="1:44" x14ac:dyDescent="0.2">
      <c r="A325">
        <f>ROW(Source!A607)</f>
        <v>607</v>
      </c>
      <c r="B325">
        <v>1471744236</v>
      </c>
      <c r="C325">
        <v>1471664393</v>
      </c>
      <c r="D325">
        <v>1441819193</v>
      </c>
      <c r="E325">
        <v>15514512</v>
      </c>
      <c r="F325">
        <v>1</v>
      </c>
      <c r="G325">
        <v>15514512</v>
      </c>
      <c r="H325">
        <v>1</v>
      </c>
      <c r="I325" t="s">
        <v>401</v>
      </c>
      <c r="J325" t="s">
        <v>3</v>
      </c>
      <c r="K325" t="s">
        <v>402</v>
      </c>
      <c r="L325">
        <v>1191</v>
      </c>
      <c r="N325">
        <v>1013</v>
      </c>
      <c r="O325" t="s">
        <v>403</v>
      </c>
      <c r="P325" t="s">
        <v>403</v>
      </c>
      <c r="Q325">
        <v>1</v>
      </c>
      <c r="X325">
        <v>1.76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1</v>
      </c>
      <c r="AE325">
        <v>1</v>
      </c>
      <c r="AF325" t="s">
        <v>42</v>
      </c>
      <c r="AG325">
        <v>3.52</v>
      </c>
      <c r="AH325">
        <v>3</v>
      </c>
      <c r="AI325">
        <v>-1</v>
      </c>
      <c r="AJ325" t="s">
        <v>3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</row>
    <row r="326" spans="1:44" x14ac:dyDescent="0.2">
      <c r="A326">
        <f>ROW(Source!A608)</f>
        <v>608</v>
      </c>
      <c r="B326">
        <v>1471744275</v>
      </c>
      <c r="C326">
        <v>1471664397</v>
      </c>
      <c r="D326">
        <v>1441819193</v>
      </c>
      <c r="E326">
        <v>15514512</v>
      </c>
      <c r="F326">
        <v>1</v>
      </c>
      <c r="G326">
        <v>15514512</v>
      </c>
      <c r="H326">
        <v>1</v>
      </c>
      <c r="I326" t="s">
        <v>401</v>
      </c>
      <c r="J326" t="s">
        <v>3</v>
      </c>
      <c r="K326" t="s">
        <v>402</v>
      </c>
      <c r="L326">
        <v>1191</v>
      </c>
      <c r="N326">
        <v>1013</v>
      </c>
      <c r="O326" t="s">
        <v>403</v>
      </c>
      <c r="P326" t="s">
        <v>403</v>
      </c>
      <c r="Q326">
        <v>1</v>
      </c>
      <c r="X326">
        <v>3.38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1</v>
      </c>
      <c r="AE326">
        <v>1</v>
      </c>
      <c r="AF326" t="s">
        <v>3</v>
      </c>
      <c r="AG326">
        <v>3.38</v>
      </c>
      <c r="AH326">
        <v>3</v>
      </c>
      <c r="AI326">
        <v>-1</v>
      </c>
      <c r="AJ326" t="s">
        <v>3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0</v>
      </c>
    </row>
    <row r="327" spans="1:44" x14ac:dyDescent="0.2">
      <c r="A327">
        <f>ROW(Source!A608)</f>
        <v>608</v>
      </c>
      <c r="B327">
        <v>1471744276</v>
      </c>
      <c r="C327">
        <v>1471664397</v>
      </c>
      <c r="D327">
        <v>1441836235</v>
      </c>
      <c r="E327">
        <v>1</v>
      </c>
      <c r="F327">
        <v>1</v>
      </c>
      <c r="G327">
        <v>15514512</v>
      </c>
      <c r="H327">
        <v>3</v>
      </c>
      <c r="I327" t="s">
        <v>408</v>
      </c>
      <c r="J327" t="s">
        <v>409</v>
      </c>
      <c r="K327" t="s">
        <v>410</v>
      </c>
      <c r="L327">
        <v>1346</v>
      </c>
      <c r="N327">
        <v>1009</v>
      </c>
      <c r="O327" t="s">
        <v>411</v>
      </c>
      <c r="P327" t="s">
        <v>411</v>
      </c>
      <c r="Q327">
        <v>1</v>
      </c>
      <c r="X327">
        <v>0.1</v>
      </c>
      <c r="Y327">
        <v>31.49</v>
      </c>
      <c r="Z327">
        <v>0</v>
      </c>
      <c r="AA327">
        <v>0</v>
      </c>
      <c r="AB327">
        <v>0</v>
      </c>
      <c r="AC327">
        <v>0</v>
      </c>
      <c r="AD327">
        <v>1</v>
      </c>
      <c r="AE327">
        <v>0</v>
      </c>
      <c r="AF327" t="s">
        <v>3</v>
      </c>
      <c r="AG327">
        <v>0.1</v>
      </c>
      <c r="AH327">
        <v>3</v>
      </c>
      <c r="AI327">
        <v>-1</v>
      </c>
      <c r="AJ327" t="s">
        <v>3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0</v>
      </c>
      <c r="AR327">
        <v>0</v>
      </c>
    </row>
    <row r="328" spans="1:44" x14ac:dyDescent="0.2">
      <c r="A328">
        <f>ROW(Source!A608)</f>
        <v>608</v>
      </c>
      <c r="B328">
        <v>1471744277</v>
      </c>
      <c r="C328">
        <v>1471664397</v>
      </c>
      <c r="D328">
        <v>1441821379</v>
      </c>
      <c r="E328">
        <v>15514512</v>
      </c>
      <c r="F328">
        <v>1</v>
      </c>
      <c r="G328">
        <v>15514512</v>
      </c>
      <c r="H328">
        <v>3</v>
      </c>
      <c r="I328" t="s">
        <v>437</v>
      </c>
      <c r="J328" t="s">
        <v>3</v>
      </c>
      <c r="K328" t="s">
        <v>438</v>
      </c>
      <c r="L328">
        <v>1346</v>
      </c>
      <c r="N328">
        <v>1009</v>
      </c>
      <c r="O328" t="s">
        <v>411</v>
      </c>
      <c r="P328" t="s">
        <v>411</v>
      </c>
      <c r="Q328">
        <v>1</v>
      </c>
      <c r="X328">
        <v>2.4E-2</v>
      </c>
      <c r="Y328">
        <v>89.933959999999999</v>
      </c>
      <c r="Z328">
        <v>0</v>
      </c>
      <c r="AA328">
        <v>0</v>
      </c>
      <c r="AB328">
        <v>0</v>
      </c>
      <c r="AC328">
        <v>0</v>
      </c>
      <c r="AD328">
        <v>1</v>
      </c>
      <c r="AE328">
        <v>0</v>
      </c>
      <c r="AF328" t="s">
        <v>3</v>
      </c>
      <c r="AG328">
        <v>2.4E-2</v>
      </c>
      <c r="AH328">
        <v>3</v>
      </c>
      <c r="AI328">
        <v>-1</v>
      </c>
      <c r="AJ328" t="s">
        <v>3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0</v>
      </c>
      <c r="AR328">
        <v>0</v>
      </c>
    </row>
    <row r="329" spans="1:44" x14ac:dyDescent="0.2">
      <c r="A329">
        <f>ROW(Source!A609)</f>
        <v>609</v>
      </c>
      <c r="B329">
        <v>1471744308</v>
      </c>
      <c r="C329">
        <v>1471664407</v>
      </c>
      <c r="D329">
        <v>1441819193</v>
      </c>
      <c r="E329">
        <v>15514512</v>
      </c>
      <c r="F329">
        <v>1</v>
      </c>
      <c r="G329">
        <v>15514512</v>
      </c>
      <c r="H329">
        <v>1</v>
      </c>
      <c r="I329" t="s">
        <v>401</v>
      </c>
      <c r="J329" t="s">
        <v>3</v>
      </c>
      <c r="K329" t="s">
        <v>402</v>
      </c>
      <c r="L329">
        <v>1191</v>
      </c>
      <c r="N329">
        <v>1013</v>
      </c>
      <c r="O329" t="s">
        <v>403</v>
      </c>
      <c r="P329" t="s">
        <v>403</v>
      </c>
      <c r="Q329">
        <v>1</v>
      </c>
      <c r="X329">
        <v>1.42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1</v>
      </c>
      <c r="AE329">
        <v>1</v>
      </c>
      <c r="AF329" t="s">
        <v>3</v>
      </c>
      <c r="AG329">
        <v>1.42</v>
      </c>
      <c r="AH329">
        <v>3</v>
      </c>
      <c r="AI329">
        <v>-1</v>
      </c>
      <c r="AJ329" t="s">
        <v>3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0</v>
      </c>
      <c r="AR329">
        <v>0</v>
      </c>
    </row>
    <row r="330" spans="1:44" x14ac:dyDescent="0.2">
      <c r="A330">
        <f>ROW(Source!A609)</f>
        <v>609</v>
      </c>
      <c r="B330">
        <v>1471744309</v>
      </c>
      <c r="C330">
        <v>1471664407</v>
      </c>
      <c r="D330">
        <v>1441833954</v>
      </c>
      <c r="E330">
        <v>1</v>
      </c>
      <c r="F330">
        <v>1</v>
      </c>
      <c r="G330">
        <v>15514512</v>
      </c>
      <c r="H330">
        <v>2</v>
      </c>
      <c r="I330" t="s">
        <v>439</v>
      </c>
      <c r="J330" t="s">
        <v>440</v>
      </c>
      <c r="K330" t="s">
        <v>441</v>
      </c>
      <c r="L330">
        <v>1368</v>
      </c>
      <c r="N330">
        <v>1011</v>
      </c>
      <c r="O330" t="s">
        <v>407</v>
      </c>
      <c r="P330" t="s">
        <v>407</v>
      </c>
      <c r="Q330">
        <v>1</v>
      </c>
      <c r="X330">
        <v>0.03</v>
      </c>
      <c r="Y330">
        <v>0</v>
      </c>
      <c r="Z330">
        <v>59.51</v>
      </c>
      <c r="AA330">
        <v>0.82</v>
      </c>
      <c r="AB330">
        <v>0</v>
      </c>
      <c r="AC330">
        <v>0</v>
      </c>
      <c r="AD330">
        <v>1</v>
      </c>
      <c r="AE330">
        <v>0</v>
      </c>
      <c r="AF330" t="s">
        <v>3</v>
      </c>
      <c r="AG330">
        <v>0.03</v>
      </c>
      <c r="AH330">
        <v>3</v>
      </c>
      <c r="AI330">
        <v>-1</v>
      </c>
      <c r="AJ330" t="s">
        <v>3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0</v>
      </c>
      <c r="AR330">
        <v>0</v>
      </c>
    </row>
    <row r="331" spans="1:44" x14ac:dyDescent="0.2">
      <c r="A331">
        <f>ROW(Source!A609)</f>
        <v>609</v>
      </c>
      <c r="B331">
        <v>1471744310</v>
      </c>
      <c r="C331">
        <v>1471664407</v>
      </c>
      <c r="D331">
        <v>1441836235</v>
      </c>
      <c r="E331">
        <v>1</v>
      </c>
      <c r="F331">
        <v>1</v>
      </c>
      <c r="G331">
        <v>15514512</v>
      </c>
      <c r="H331">
        <v>3</v>
      </c>
      <c r="I331" t="s">
        <v>408</v>
      </c>
      <c r="J331" t="s">
        <v>409</v>
      </c>
      <c r="K331" t="s">
        <v>410</v>
      </c>
      <c r="L331">
        <v>1346</v>
      </c>
      <c r="N331">
        <v>1009</v>
      </c>
      <c r="O331" t="s">
        <v>411</v>
      </c>
      <c r="P331" t="s">
        <v>411</v>
      </c>
      <c r="Q331">
        <v>1</v>
      </c>
      <c r="X331">
        <v>0.01</v>
      </c>
      <c r="Y331">
        <v>31.49</v>
      </c>
      <c r="Z331">
        <v>0</v>
      </c>
      <c r="AA331">
        <v>0</v>
      </c>
      <c r="AB331">
        <v>0</v>
      </c>
      <c r="AC331">
        <v>0</v>
      </c>
      <c r="AD331">
        <v>1</v>
      </c>
      <c r="AE331">
        <v>0</v>
      </c>
      <c r="AF331" t="s">
        <v>3</v>
      </c>
      <c r="AG331">
        <v>0.01</v>
      </c>
      <c r="AH331">
        <v>3</v>
      </c>
      <c r="AI331">
        <v>-1</v>
      </c>
      <c r="AJ331" t="s">
        <v>3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0</v>
      </c>
      <c r="AR331">
        <v>0</v>
      </c>
    </row>
    <row r="332" spans="1:44" x14ac:dyDescent="0.2">
      <c r="A332">
        <f>ROW(Source!A609)</f>
        <v>609</v>
      </c>
      <c r="B332">
        <v>1471744311</v>
      </c>
      <c r="C332">
        <v>1471664407</v>
      </c>
      <c r="D332">
        <v>1441836393</v>
      </c>
      <c r="E332">
        <v>1</v>
      </c>
      <c r="F332">
        <v>1</v>
      </c>
      <c r="G332">
        <v>15514512</v>
      </c>
      <c r="H332">
        <v>3</v>
      </c>
      <c r="I332" t="s">
        <v>442</v>
      </c>
      <c r="J332" t="s">
        <v>443</v>
      </c>
      <c r="K332" t="s">
        <v>444</v>
      </c>
      <c r="L332">
        <v>1296</v>
      </c>
      <c r="N332">
        <v>1002</v>
      </c>
      <c r="O332" t="s">
        <v>418</v>
      </c>
      <c r="P332" t="s">
        <v>418</v>
      </c>
      <c r="Q332">
        <v>1</v>
      </c>
      <c r="X332">
        <v>1E-4</v>
      </c>
      <c r="Y332">
        <v>4241.6400000000003</v>
      </c>
      <c r="Z332">
        <v>0</v>
      </c>
      <c r="AA332">
        <v>0</v>
      </c>
      <c r="AB332">
        <v>0</v>
      </c>
      <c r="AC332">
        <v>0</v>
      </c>
      <c r="AD332">
        <v>1</v>
      </c>
      <c r="AE332">
        <v>0</v>
      </c>
      <c r="AF332" t="s">
        <v>3</v>
      </c>
      <c r="AG332">
        <v>1E-4</v>
      </c>
      <c r="AH332">
        <v>3</v>
      </c>
      <c r="AI332">
        <v>-1</v>
      </c>
      <c r="AJ332" t="s">
        <v>3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0</v>
      </c>
      <c r="AR332">
        <v>0</v>
      </c>
    </row>
    <row r="333" spans="1:44" x14ac:dyDescent="0.2">
      <c r="A333">
        <f>ROW(Source!A610)</f>
        <v>610</v>
      </c>
      <c r="B333">
        <v>1471744328</v>
      </c>
      <c r="C333">
        <v>1471664420</v>
      </c>
      <c r="D333">
        <v>1441819193</v>
      </c>
      <c r="E333">
        <v>15514512</v>
      </c>
      <c r="F333">
        <v>1</v>
      </c>
      <c r="G333">
        <v>15514512</v>
      </c>
      <c r="H333">
        <v>1</v>
      </c>
      <c r="I333" t="s">
        <v>401</v>
      </c>
      <c r="J333" t="s">
        <v>3</v>
      </c>
      <c r="K333" t="s">
        <v>402</v>
      </c>
      <c r="L333">
        <v>1191</v>
      </c>
      <c r="N333">
        <v>1013</v>
      </c>
      <c r="O333" t="s">
        <v>403</v>
      </c>
      <c r="P333" t="s">
        <v>403</v>
      </c>
      <c r="Q333">
        <v>1</v>
      </c>
      <c r="X333">
        <v>0.78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1</v>
      </c>
      <c r="AE333">
        <v>1</v>
      </c>
      <c r="AF333" t="s">
        <v>163</v>
      </c>
      <c r="AG333">
        <v>2.34</v>
      </c>
      <c r="AH333">
        <v>3</v>
      </c>
      <c r="AI333">
        <v>-1</v>
      </c>
      <c r="AJ333" t="s">
        <v>3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0</v>
      </c>
      <c r="AR333">
        <v>0</v>
      </c>
    </row>
    <row r="334" spans="1:44" x14ac:dyDescent="0.2">
      <c r="A334">
        <f>ROW(Source!A610)</f>
        <v>610</v>
      </c>
      <c r="B334">
        <v>1471744329</v>
      </c>
      <c r="C334">
        <v>1471664420</v>
      </c>
      <c r="D334">
        <v>1441836235</v>
      </c>
      <c r="E334">
        <v>1</v>
      </c>
      <c r="F334">
        <v>1</v>
      </c>
      <c r="G334">
        <v>15514512</v>
      </c>
      <c r="H334">
        <v>3</v>
      </c>
      <c r="I334" t="s">
        <v>408</v>
      </c>
      <c r="J334" t="s">
        <v>409</v>
      </c>
      <c r="K334" t="s">
        <v>410</v>
      </c>
      <c r="L334">
        <v>1346</v>
      </c>
      <c r="N334">
        <v>1009</v>
      </c>
      <c r="O334" t="s">
        <v>411</v>
      </c>
      <c r="P334" t="s">
        <v>411</v>
      </c>
      <c r="Q334">
        <v>1</v>
      </c>
      <c r="X334">
        <v>0.01</v>
      </c>
      <c r="Y334">
        <v>31.49</v>
      </c>
      <c r="Z334">
        <v>0</v>
      </c>
      <c r="AA334">
        <v>0</v>
      </c>
      <c r="AB334">
        <v>0</v>
      </c>
      <c r="AC334">
        <v>0</v>
      </c>
      <c r="AD334">
        <v>1</v>
      </c>
      <c r="AE334">
        <v>0</v>
      </c>
      <c r="AF334" t="s">
        <v>163</v>
      </c>
      <c r="AG334">
        <v>0.03</v>
      </c>
      <c r="AH334">
        <v>3</v>
      </c>
      <c r="AI334">
        <v>-1</v>
      </c>
      <c r="AJ334" t="s">
        <v>3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0</v>
      </c>
      <c r="AR334">
        <v>0</v>
      </c>
    </row>
    <row r="335" spans="1:44" x14ac:dyDescent="0.2">
      <c r="A335">
        <f>ROW(Source!A611)</f>
        <v>611</v>
      </c>
      <c r="B335">
        <v>1471744344</v>
      </c>
      <c r="C335">
        <v>1471664428</v>
      </c>
      <c r="D335">
        <v>1441819193</v>
      </c>
      <c r="E335">
        <v>15514512</v>
      </c>
      <c r="F335">
        <v>1</v>
      </c>
      <c r="G335">
        <v>15514512</v>
      </c>
      <c r="H335">
        <v>1</v>
      </c>
      <c r="I335" t="s">
        <v>401</v>
      </c>
      <c r="J335" t="s">
        <v>3</v>
      </c>
      <c r="K335" t="s">
        <v>402</v>
      </c>
      <c r="L335">
        <v>1191</v>
      </c>
      <c r="N335">
        <v>1013</v>
      </c>
      <c r="O335" t="s">
        <v>403</v>
      </c>
      <c r="P335" t="s">
        <v>403</v>
      </c>
      <c r="Q335">
        <v>1</v>
      </c>
      <c r="X335">
        <v>2.48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1</v>
      </c>
      <c r="AE335">
        <v>1</v>
      </c>
      <c r="AF335" t="s">
        <v>3</v>
      </c>
      <c r="AG335">
        <v>2.48</v>
      </c>
      <c r="AH335">
        <v>3</v>
      </c>
      <c r="AI335">
        <v>-1</v>
      </c>
      <c r="AJ335" t="s">
        <v>3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0</v>
      </c>
      <c r="AR335">
        <v>0</v>
      </c>
    </row>
    <row r="336" spans="1:44" x14ac:dyDescent="0.2">
      <c r="A336">
        <f>ROW(Source!A611)</f>
        <v>611</v>
      </c>
      <c r="B336">
        <v>1471744345</v>
      </c>
      <c r="C336">
        <v>1471664428</v>
      </c>
      <c r="D336">
        <v>1441834146</v>
      </c>
      <c r="E336">
        <v>1</v>
      </c>
      <c r="F336">
        <v>1</v>
      </c>
      <c r="G336">
        <v>15514512</v>
      </c>
      <c r="H336">
        <v>2</v>
      </c>
      <c r="I336" t="s">
        <v>445</v>
      </c>
      <c r="J336" t="s">
        <v>446</v>
      </c>
      <c r="K336" t="s">
        <v>447</v>
      </c>
      <c r="L336">
        <v>1368</v>
      </c>
      <c r="N336">
        <v>1011</v>
      </c>
      <c r="O336" t="s">
        <v>407</v>
      </c>
      <c r="P336" t="s">
        <v>407</v>
      </c>
      <c r="Q336">
        <v>1</v>
      </c>
      <c r="X336">
        <v>0.17</v>
      </c>
      <c r="Y336">
        <v>0</v>
      </c>
      <c r="Z336">
        <v>20.55</v>
      </c>
      <c r="AA336">
        <v>0.31</v>
      </c>
      <c r="AB336">
        <v>0</v>
      </c>
      <c r="AC336">
        <v>0</v>
      </c>
      <c r="AD336">
        <v>1</v>
      </c>
      <c r="AE336">
        <v>0</v>
      </c>
      <c r="AF336" t="s">
        <v>3</v>
      </c>
      <c r="AG336">
        <v>0.17</v>
      </c>
      <c r="AH336">
        <v>3</v>
      </c>
      <c r="AI336">
        <v>-1</v>
      </c>
      <c r="AJ336" t="s">
        <v>3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0</v>
      </c>
      <c r="AR336">
        <v>0</v>
      </c>
    </row>
    <row r="337" spans="1:44" x14ac:dyDescent="0.2">
      <c r="A337">
        <f>ROW(Source!A611)</f>
        <v>611</v>
      </c>
      <c r="B337">
        <v>1471744346</v>
      </c>
      <c r="C337">
        <v>1471664428</v>
      </c>
      <c r="D337">
        <v>1441836235</v>
      </c>
      <c r="E337">
        <v>1</v>
      </c>
      <c r="F337">
        <v>1</v>
      </c>
      <c r="G337">
        <v>15514512</v>
      </c>
      <c r="H337">
        <v>3</v>
      </c>
      <c r="I337" t="s">
        <v>408</v>
      </c>
      <c r="J337" t="s">
        <v>409</v>
      </c>
      <c r="K337" t="s">
        <v>410</v>
      </c>
      <c r="L337">
        <v>1346</v>
      </c>
      <c r="N337">
        <v>1009</v>
      </c>
      <c r="O337" t="s">
        <v>411</v>
      </c>
      <c r="P337" t="s">
        <v>411</v>
      </c>
      <c r="Q337">
        <v>1</v>
      </c>
      <c r="X337">
        <v>0.03</v>
      </c>
      <c r="Y337">
        <v>31.49</v>
      </c>
      <c r="Z337">
        <v>0</v>
      </c>
      <c r="AA337">
        <v>0</v>
      </c>
      <c r="AB337">
        <v>0</v>
      </c>
      <c r="AC337">
        <v>0</v>
      </c>
      <c r="AD337">
        <v>1</v>
      </c>
      <c r="AE337">
        <v>0</v>
      </c>
      <c r="AF337" t="s">
        <v>3</v>
      </c>
      <c r="AG337">
        <v>0.03</v>
      </c>
      <c r="AH337">
        <v>3</v>
      </c>
      <c r="AI337">
        <v>-1</v>
      </c>
      <c r="AJ337" t="s">
        <v>3</v>
      </c>
      <c r="AK337">
        <v>0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0</v>
      </c>
      <c r="AR337">
        <v>0</v>
      </c>
    </row>
    <row r="338" spans="1:44" x14ac:dyDescent="0.2">
      <c r="A338">
        <f>ROW(Source!A612)</f>
        <v>612</v>
      </c>
      <c r="B338">
        <v>1471744367</v>
      </c>
      <c r="C338">
        <v>1471664439</v>
      </c>
      <c r="D338">
        <v>1441819193</v>
      </c>
      <c r="E338">
        <v>15514512</v>
      </c>
      <c r="F338">
        <v>1</v>
      </c>
      <c r="G338">
        <v>15514512</v>
      </c>
      <c r="H338">
        <v>1</v>
      </c>
      <c r="I338" t="s">
        <v>401</v>
      </c>
      <c r="J338" t="s">
        <v>3</v>
      </c>
      <c r="K338" t="s">
        <v>402</v>
      </c>
      <c r="L338">
        <v>1191</v>
      </c>
      <c r="N338">
        <v>1013</v>
      </c>
      <c r="O338" t="s">
        <v>403</v>
      </c>
      <c r="P338" t="s">
        <v>403</v>
      </c>
      <c r="Q338">
        <v>1</v>
      </c>
      <c r="X338">
        <v>1.86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1</v>
      </c>
      <c r="AE338">
        <v>1</v>
      </c>
      <c r="AF338" t="s">
        <v>163</v>
      </c>
      <c r="AG338">
        <v>5.58</v>
      </c>
      <c r="AH338">
        <v>3</v>
      </c>
      <c r="AI338">
        <v>-1</v>
      </c>
      <c r="AJ338" t="s">
        <v>3</v>
      </c>
      <c r="AK338">
        <v>0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0</v>
      </c>
      <c r="AR338">
        <v>0</v>
      </c>
    </row>
    <row r="339" spans="1:44" x14ac:dyDescent="0.2">
      <c r="A339">
        <f>ROW(Source!A612)</f>
        <v>612</v>
      </c>
      <c r="B339">
        <v>1471744368</v>
      </c>
      <c r="C339">
        <v>1471664439</v>
      </c>
      <c r="D339">
        <v>1441834146</v>
      </c>
      <c r="E339">
        <v>1</v>
      </c>
      <c r="F339">
        <v>1</v>
      </c>
      <c r="G339">
        <v>15514512</v>
      </c>
      <c r="H339">
        <v>2</v>
      </c>
      <c r="I339" t="s">
        <v>445</v>
      </c>
      <c r="J339" t="s">
        <v>446</v>
      </c>
      <c r="K339" t="s">
        <v>447</v>
      </c>
      <c r="L339">
        <v>1368</v>
      </c>
      <c r="N339">
        <v>1011</v>
      </c>
      <c r="O339" t="s">
        <v>407</v>
      </c>
      <c r="P339" t="s">
        <v>407</v>
      </c>
      <c r="Q339">
        <v>1</v>
      </c>
      <c r="X339">
        <v>0.17</v>
      </c>
      <c r="Y339">
        <v>0</v>
      </c>
      <c r="Z339">
        <v>20.55</v>
      </c>
      <c r="AA339">
        <v>0.31</v>
      </c>
      <c r="AB339">
        <v>0</v>
      </c>
      <c r="AC339">
        <v>0</v>
      </c>
      <c r="AD339">
        <v>1</v>
      </c>
      <c r="AE339">
        <v>0</v>
      </c>
      <c r="AF339" t="s">
        <v>163</v>
      </c>
      <c r="AG339">
        <v>0.51</v>
      </c>
      <c r="AH339">
        <v>3</v>
      </c>
      <c r="AI339">
        <v>-1</v>
      </c>
      <c r="AJ339" t="s">
        <v>3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0</v>
      </c>
      <c r="AR339">
        <v>0</v>
      </c>
    </row>
    <row r="340" spans="1:44" x14ac:dyDescent="0.2">
      <c r="A340">
        <f>ROW(Source!A612)</f>
        <v>612</v>
      </c>
      <c r="B340">
        <v>1471744370</v>
      </c>
      <c r="C340">
        <v>1471664439</v>
      </c>
      <c r="D340">
        <v>1441836235</v>
      </c>
      <c r="E340">
        <v>1</v>
      </c>
      <c r="F340">
        <v>1</v>
      </c>
      <c r="G340">
        <v>15514512</v>
      </c>
      <c r="H340">
        <v>3</v>
      </c>
      <c r="I340" t="s">
        <v>408</v>
      </c>
      <c r="J340" t="s">
        <v>409</v>
      </c>
      <c r="K340" t="s">
        <v>410</v>
      </c>
      <c r="L340">
        <v>1346</v>
      </c>
      <c r="N340">
        <v>1009</v>
      </c>
      <c r="O340" t="s">
        <v>411</v>
      </c>
      <c r="P340" t="s">
        <v>411</v>
      </c>
      <c r="Q340">
        <v>1</v>
      </c>
      <c r="X340">
        <v>0.03</v>
      </c>
      <c r="Y340">
        <v>31.49</v>
      </c>
      <c r="Z340">
        <v>0</v>
      </c>
      <c r="AA340">
        <v>0</v>
      </c>
      <c r="AB340">
        <v>0</v>
      </c>
      <c r="AC340">
        <v>0</v>
      </c>
      <c r="AD340">
        <v>1</v>
      </c>
      <c r="AE340">
        <v>0</v>
      </c>
      <c r="AF340" t="s">
        <v>163</v>
      </c>
      <c r="AG340">
        <v>0.09</v>
      </c>
      <c r="AH340">
        <v>3</v>
      </c>
      <c r="AI340">
        <v>-1</v>
      </c>
      <c r="AJ340" t="s">
        <v>3</v>
      </c>
      <c r="AK340">
        <v>0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0</v>
      </c>
      <c r="AR340">
        <v>0</v>
      </c>
    </row>
    <row r="341" spans="1:44" x14ac:dyDescent="0.2">
      <c r="A341">
        <f>ROW(Source!A613)</f>
        <v>613</v>
      </c>
      <c r="B341">
        <v>1471744383</v>
      </c>
      <c r="C341">
        <v>1471664449</v>
      </c>
      <c r="D341">
        <v>1441819193</v>
      </c>
      <c r="E341">
        <v>15514512</v>
      </c>
      <c r="F341">
        <v>1</v>
      </c>
      <c r="G341">
        <v>15514512</v>
      </c>
      <c r="H341">
        <v>1</v>
      </c>
      <c r="I341" t="s">
        <v>401</v>
      </c>
      <c r="J341" t="s">
        <v>3</v>
      </c>
      <c r="K341" t="s">
        <v>402</v>
      </c>
      <c r="L341">
        <v>1191</v>
      </c>
      <c r="N341">
        <v>1013</v>
      </c>
      <c r="O341" t="s">
        <v>403</v>
      </c>
      <c r="P341" t="s">
        <v>403</v>
      </c>
      <c r="Q341">
        <v>1</v>
      </c>
      <c r="X341">
        <v>1.86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1</v>
      </c>
      <c r="AE341">
        <v>1</v>
      </c>
      <c r="AF341" t="s">
        <v>163</v>
      </c>
      <c r="AG341">
        <v>5.58</v>
      </c>
      <c r="AH341">
        <v>3</v>
      </c>
      <c r="AI341">
        <v>-1</v>
      </c>
      <c r="AJ341" t="s">
        <v>3</v>
      </c>
      <c r="AK341">
        <v>0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0</v>
      </c>
      <c r="AR341">
        <v>0</v>
      </c>
    </row>
    <row r="342" spans="1:44" x14ac:dyDescent="0.2">
      <c r="A342">
        <f>ROW(Source!A613)</f>
        <v>613</v>
      </c>
      <c r="B342">
        <v>1471744384</v>
      </c>
      <c r="C342">
        <v>1471664449</v>
      </c>
      <c r="D342">
        <v>1441834146</v>
      </c>
      <c r="E342">
        <v>1</v>
      </c>
      <c r="F342">
        <v>1</v>
      </c>
      <c r="G342">
        <v>15514512</v>
      </c>
      <c r="H342">
        <v>2</v>
      </c>
      <c r="I342" t="s">
        <v>445</v>
      </c>
      <c r="J342" t="s">
        <v>446</v>
      </c>
      <c r="K342" t="s">
        <v>447</v>
      </c>
      <c r="L342">
        <v>1368</v>
      </c>
      <c r="N342">
        <v>1011</v>
      </c>
      <c r="O342" t="s">
        <v>407</v>
      </c>
      <c r="P342" t="s">
        <v>407</v>
      </c>
      <c r="Q342">
        <v>1</v>
      </c>
      <c r="X342">
        <v>0.17</v>
      </c>
      <c r="Y342">
        <v>0</v>
      </c>
      <c r="Z342">
        <v>20.55</v>
      </c>
      <c r="AA342">
        <v>0.31</v>
      </c>
      <c r="AB342">
        <v>0</v>
      </c>
      <c r="AC342">
        <v>0</v>
      </c>
      <c r="AD342">
        <v>1</v>
      </c>
      <c r="AE342">
        <v>0</v>
      </c>
      <c r="AF342" t="s">
        <v>163</v>
      </c>
      <c r="AG342">
        <v>0.51</v>
      </c>
      <c r="AH342">
        <v>3</v>
      </c>
      <c r="AI342">
        <v>-1</v>
      </c>
      <c r="AJ342" t="s">
        <v>3</v>
      </c>
      <c r="AK342">
        <v>0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0</v>
      </c>
      <c r="AR342">
        <v>0</v>
      </c>
    </row>
    <row r="343" spans="1:44" x14ac:dyDescent="0.2">
      <c r="A343">
        <f>ROW(Source!A613)</f>
        <v>613</v>
      </c>
      <c r="B343">
        <v>1471744385</v>
      </c>
      <c r="C343">
        <v>1471664449</v>
      </c>
      <c r="D343">
        <v>1441836235</v>
      </c>
      <c r="E343">
        <v>1</v>
      </c>
      <c r="F343">
        <v>1</v>
      </c>
      <c r="G343">
        <v>15514512</v>
      </c>
      <c r="H343">
        <v>3</v>
      </c>
      <c r="I343" t="s">
        <v>408</v>
      </c>
      <c r="J343" t="s">
        <v>409</v>
      </c>
      <c r="K343" t="s">
        <v>410</v>
      </c>
      <c r="L343">
        <v>1346</v>
      </c>
      <c r="N343">
        <v>1009</v>
      </c>
      <c r="O343" t="s">
        <v>411</v>
      </c>
      <c r="P343" t="s">
        <v>411</v>
      </c>
      <c r="Q343">
        <v>1</v>
      </c>
      <c r="X343">
        <v>0.03</v>
      </c>
      <c r="Y343">
        <v>31.49</v>
      </c>
      <c r="Z343">
        <v>0</v>
      </c>
      <c r="AA343">
        <v>0</v>
      </c>
      <c r="AB343">
        <v>0</v>
      </c>
      <c r="AC343">
        <v>0</v>
      </c>
      <c r="AD343">
        <v>1</v>
      </c>
      <c r="AE343">
        <v>0</v>
      </c>
      <c r="AF343" t="s">
        <v>163</v>
      </c>
      <c r="AG343">
        <v>0.09</v>
      </c>
      <c r="AH343">
        <v>3</v>
      </c>
      <c r="AI343">
        <v>-1</v>
      </c>
      <c r="AJ343" t="s">
        <v>3</v>
      </c>
      <c r="AK343">
        <v>0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0</v>
      </c>
      <c r="AR343">
        <v>0</v>
      </c>
    </row>
    <row r="344" spans="1:44" x14ac:dyDescent="0.2">
      <c r="A344">
        <f>ROW(Source!A614)</f>
        <v>614</v>
      </c>
      <c r="B344">
        <v>1471744399</v>
      </c>
      <c r="C344">
        <v>1471664459</v>
      </c>
      <c r="D344">
        <v>1441819193</v>
      </c>
      <c r="E344">
        <v>15514512</v>
      </c>
      <c r="F344">
        <v>1</v>
      </c>
      <c r="G344">
        <v>15514512</v>
      </c>
      <c r="H344">
        <v>1</v>
      </c>
      <c r="I344" t="s">
        <v>401</v>
      </c>
      <c r="J344" t="s">
        <v>3</v>
      </c>
      <c r="K344" t="s">
        <v>402</v>
      </c>
      <c r="L344">
        <v>1191</v>
      </c>
      <c r="N344">
        <v>1013</v>
      </c>
      <c r="O344" t="s">
        <v>403</v>
      </c>
      <c r="P344" t="s">
        <v>403</v>
      </c>
      <c r="Q344">
        <v>1</v>
      </c>
      <c r="X344">
        <v>2.48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1</v>
      </c>
      <c r="AE344">
        <v>1</v>
      </c>
      <c r="AF344" t="s">
        <v>3</v>
      </c>
      <c r="AG344">
        <v>2.48</v>
      </c>
      <c r="AH344">
        <v>3</v>
      </c>
      <c r="AI344">
        <v>-1</v>
      </c>
      <c r="AJ344" t="s">
        <v>3</v>
      </c>
      <c r="AK344">
        <v>0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0</v>
      </c>
      <c r="AR344">
        <v>0</v>
      </c>
    </row>
    <row r="345" spans="1:44" x14ac:dyDescent="0.2">
      <c r="A345">
        <f>ROW(Source!A614)</f>
        <v>614</v>
      </c>
      <c r="B345">
        <v>1471744400</v>
      </c>
      <c r="C345">
        <v>1471664459</v>
      </c>
      <c r="D345">
        <v>1441834146</v>
      </c>
      <c r="E345">
        <v>1</v>
      </c>
      <c r="F345">
        <v>1</v>
      </c>
      <c r="G345">
        <v>15514512</v>
      </c>
      <c r="H345">
        <v>2</v>
      </c>
      <c r="I345" t="s">
        <v>445</v>
      </c>
      <c r="J345" t="s">
        <v>446</v>
      </c>
      <c r="K345" t="s">
        <v>447</v>
      </c>
      <c r="L345">
        <v>1368</v>
      </c>
      <c r="N345">
        <v>1011</v>
      </c>
      <c r="O345" t="s">
        <v>407</v>
      </c>
      <c r="P345" t="s">
        <v>407</v>
      </c>
      <c r="Q345">
        <v>1</v>
      </c>
      <c r="X345">
        <v>0.17</v>
      </c>
      <c r="Y345">
        <v>0</v>
      </c>
      <c r="Z345">
        <v>20.55</v>
      </c>
      <c r="AA345">
        <v>0.31</v>
      </c>
      <c r="AB345">
        <v>0</v>
      </c>
      <c r="AC345">
        <v>0</v>
      </c>
      <c r="AD345">
        <v>1</v>
      </c>
      <c r="AE345">
        <v>0</v>
      </c>
      <c r="AF345" t="s">
        <v>3</v>
      </c>
      <c r="AG345">
        <v>0.17</v>
      </c>
      <c r="AH345">
        <v>3</v>
      </c>
      <c r="AI345">
        <v>-1</v>
      </c>
      <c r="AJ345" t="s">
        <v>3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0</v>
      </c>
      <c r="AR345">
        <v>0</v>
      </c>
    </row>
    <row r="346" spans="1:44" x14ac:dyDescent="0.2">
      <c r="A346">
        <f>ROW(Source!A614)</f>
        <v>614</v>
      </c>
      <c r="B346">
        <v>1471744401</v>
      </c>
      <c r="C346">
        <v>1471664459</v>
      </c>
      <c r="D346">
        <v>1441836235</v>
      </c>
      <c r="E346">
        <v>1</v>
      </c>
      <c r="F346">
        <v>1</v>
      </c>
      <c r="G346">
        <v>15514512</v>
      </c>
      <c r="H346">
        <v>3</v>
      </c>
      <c r="I346" t="s">
        <v>408</v>
      </c>
      <c r="J346" t="s">
        <v>409</v>
      </c>
      <c r="K346" t="s">
        <v>410</v>
      </c>
      <c r="L346">
        <v>1346</v>
      </c>
      <c r="N346">
        <v>1009</v>
      </c>
      <c r="O346" t="s">
        <v>411</v>
      </c>
      <c r="P346" t="s">
        <v>411</v>
      </c>
      <c r="Q346">
        <v>1</v>
      </c>
      <c r="X346">
        <v>0.03</v>
      </c>
      <c r="Y346">
        <v>31.49</v>
      </c>
      <c r="Z346">
        <v>0</v>
      </c>
      <c r="AA346">
        <v>0</v>
      </c>
      <c r="AB346">
        <v>0</v>
      </c>
      <c r="AC346">
        <v>0</v>
      </c>
      <c r="AD346">
        <v>1</v>
      </c>
      <c r="AE346">
        <v>0</v>
      </c>
      <c r="AF346" t="s">
        <v>3</v>
      </c>
      <c r="AG346">
        <v>0.03</v>
      </c>
      <c r="AH346">
        <v>3</v>
      </c>
      <c r="AI346">
        <v>-1</v>
      </c>
      <c r="AJ346" t="s">
        <v>3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0</v>
      </c>
      <c r="AR346">
        <v>0</v>
      </c>
    </row>
    <row r="347" spans="1:44" x14ac:dyDescent="0.2">
      <c r="A347">
        <f>ROW(Source!A651)</f>
        <v>651</v>
      </c>
      <c r="B347">
        <v>1471744430</v>
      </c>
      <c r="C347">
        <v>1471664470</v>
      </c>
      <c r="D347">
        <v>1441819193</v>
      </c>
      <c r="E347">
        <v>15514512</v>
      </c>
      <c r="F347">
        <v>1</v>
      </c>
      <c r="G347">
        <v>15514512</v>
      </c>
      <c r="H347">
        <v>1</v>
      </c>
      <c r="I347" t="s">
        <v>401</v>
      </c>
      <c r="J347" t="s">
        <v>3</v>
      </c>
      <c r="K347" t="s">
        <v>402</v>
      </c>
      <c r="L347">
        <v>1191</v>
      </c>
      <c r="N347">
        <v>1013</v>
      </c>
      <c r="O347" t="s">
        <v>403</v>
      </c>
      <c r="P347" t="s">
        <v>403</v>
      </c>
      <c r="Q347">
        <v>1</v>
      </c>
      <c r="X347">
        <v>24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1</v>
      </c>
      <c r="AE347">
        <v>1</v>
      </c>
      <c r="AF347" t="s">
        <v>3</v>
      </c>
      <c r="AG347">
        <v>24</v>
      </c>
      <c r="AH347">
        <v>3</v>
      </c>
      <c r="AI347">
        <v>-1</v>
      </c>
      <c r="AJ347" t="s">
        <v>3</v>
      </c>
      <c r="AK347">
        <v>0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0</v>
      </c>
      <c r="AR347">
        <v>0</v>
      </c>
    </row>
    <row r="348" spans="1:44" x14ac:dyDescent="0.2">
      <c r="A348">
        <f>ROW(Source!A651)</f>
        <v>651</v>
      </c>
      <c r="B348">
        <v>1471744432</v>
      </c>
      <c r="C348">
        <v>1471664470</v>
      </c>
      <c r="D348">
        <v>1441836237</v>
      </c>
      <c r="E348">
        <v>1</v>
      </c>
      <c r="F348">
        <v>1</v>
      </c>
      <c r="G348">
        <v>15514512</v>
      </c>
      <c r="H348">
        <v>3</v>
      </c>
      <c r="I348" t="s">
        <v>448</v>
      </c>
      <c r="J348" t="s">
        <v>449</v>
      </c>
      <c r="K348" t="s">
        <v>450</v>
      </c>
      <c r="L348">
        <v>1346</v>
      </c>
      <c r="N348">
        <v>1009</v>
      </c>
      <c r="O348" t="s">
        <v>411</v>
      </c>
      <c r="P348" t="s">
        <v>411</v>
      </c>
      <c r="Q348">
        <v>1</v>
      </c>
      <c r="X348">
        <v>0.48</v>
      </c>
      <c r="Y348">
        <v>375.16</v>
      </c>
      <c r="Z348">
        <v>0</v>
      </c>
      <c r="AA348">
        <v>0</v>
      </c>
      <c r="AB348">
        <v>0</v>
      </c>
      <c r="AC348">
        <v>0</v>
      </c>
      <c r="AD348">
        <v>1</v>
      </c>
      <c r="AE348">
        <v>0</v>
      </c>
      <c r="AF348" t="s">
        <v>3</v>
      </c>
      <c r="AG348">
        <v>0.48</v>
      </c>
      <c r="AH348">
        <v>3</v>
      </c>
      <c r="AI348">
        <v>-1</v>
      </c>
      <c r="AJ348" t="s">
        <v>3</v>
      </c>
      <c r="AK348">
        <v>0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0</v>
      </c>
      <c r="AR348">
        <v>0</v>
      </c>
    </row>
    <row r="349" spans="1:44" x14ac:dyDescent="0.2">
      <c r="A349">
        <f>ROW(Source!A651)</f>
        <v>651</v>
      </c>
      <c r="B349">
        <v>1471744433</v>
      </c>
      <c r="C349">
        <v>1471664470</v>
      </c>
      <c r="D349">
        <v>1441836235</v>
      </c>
      <c r="E349">
        <v>1</v>
      </c>
      <c r="F349">
        <v>1</v>
      </c>
      <c r="G349">
        <v>15514512</v>
      </c>
      <c r="H349">
        <v>3</v>
      </c>
      <c r="I349" t="s">
        <v>408</v>
      </c>
      <c r="J349" t="s">
        <v>409</v>
      </c>
      <c r="K349" t="s">
        <v>410</v>
      </c>
      <c r="L349">
        <v>1346</v>
      </c>
      <c r="N349">
        <v>1009</v>
      </c>
      <c r="O349" t="s">
        <v>411</v>
      </c>
      <c r="P349" t="s">
        <v>411</v>
      </c>
      <c r="Q349">
        <v>1</v>
      </c>
      <c r="X349">
        <v>0.14000000000000001</v>
      </c>
      <c r="Y349">
        <v>31.49</v>
      </c>
      <c r="Z349">
        <v>0</v>
      </c>
      <c r="AA349">
        <v>0</v>
      </c>
      <c r="AB349">
        <v>0</v>
      </c>
      <c r="AC349">
        <v>0</v>
      </c>
      <c r="AD349">
        <v>1</v>
      </c>
      <c r="AE349">
        <v>0</v>
      </c>
      <c r="AF349" t="s">
        <v>3</v>
      </c>
      <c r="AG349">
        <v>0.14000000000000001</v>
      </c>
      <c r="AH349">
        <v>3</v>
      </c>
      <c r="AI349">
        <v>-1</v>
      </c>
      <c r="AJ349" t="s">
        <v>3</v>
      </c>
      <c r="AK349">
        <v>0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0</v>
      </c>
      <c r="AR349">
        <v>0</v>
      </c>
    </row>
    <row r="350" spans="1:44" x14ac:dyDescent="0.2">
      <c r="A350">
        <f>ROW(Source!A651)</f>
        <v>651</v>
      </c>
      <c r="B350">
        <v>1471744431</v>
      </c>
      <c r="C350">
        <v>1471664470</v>
      </c>
      <c r="D350">
        <v>1441822228</v>
      </c>
      <c r="E350">
        <v>15514512</v>
      </c>
      <c r="F350">
        <v>1</v>
      </c>
      <c r="G350">
        <v>15514512</v>
      </c>
      <c r="H350">
        <v>3</v>
      </c>
      <c r="I350" t="s">
        <v>451</v>
      </c>
      <c r="J350" t="s">
        <v>3</v>
      </c>
      <c r="K350" t="s">
        <v>452</v>
      </c>
      <c r="L350">
        <v>1346</v>
      </c>
      <c r="N350">
        <v>1009</v>
      </c>
      <c r="O350" t="s">
        <v>411</v>
      </c>
      <c r="P350" t="s">
        <v>411</v>
      </c>
      <c r="Q350">
        <v>1</v>
      </c>
      <c r="X350">
        <v>0.14000000000000001</v>
      </c>
      <c r="Y350">
        <v>73.951729999999998</v>
      </c>
      <c r="Z350">
        <v>0</v>
      </c>
      <c r="AA350">
        <v>0</v>
      </c>
      <c r="AB350">
        <v>0</v>
      </c>
      <c r="AC350">
        <v>0</v>
      </c>
      <c r="AD350">
        <v>1</v>
      </c>
      <c r="AE350">
        <v>0</v>
      </c>
      <c r="AF350" t="s">
        <v>3</v>
      </c>
      <c r="AG350">
        <v>0.14000000000000001</v>
      </c>
      <c r="AH350">
        <v>3</v>
      </c>
      <c r="AI350">
        <v>-1</v>
      </c>
      <c r="AJ350" t="s">
        <v>3</v>
      </c>
      <c r="AK350">
        <v>0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0</v>
      </c>
      <c r="AR350">
        <v>0</v>
      </c>
    </row>
    <row r="351" spans="1:44" x14ac:dyDescent="0.2">
      <c r="A351">
        <f>ROW(Source!A651)</f>
        <v>651</v>
      </c>
      <c r="B351">
        <v>1471744434</v>
      </c>
      <c r="C351">
        <v>1471664470</v>
      </c>
      <c r="D351">
        <v>1441834920</v>
      </c>
      <c r="E351">
        <v>1</v>
      </c>
      <c r="F351">
        <v>1</v>
      </c>
      <c r="G351">
        <v>15514512</v>
      </c>
      <c r="H351">
        <v>3</v>
      </c>
      <c r="I351" t="s">
        <v>453</v>
      </c>
      <c r="J351" t="s">
        <v>454</v>
      </c>
      <c r="K351" t="s">
        <v>455</v>
      </c>
      <c r="L351">
        <v>1346</v>
      </c>
      <c r="N351">
        <v>1009</v>
      </c>
      <c r="O351" t="s">
        <v>411</v>
      </c>
      <c r="P351" t="s">
        <v>411</v>
      </c>
      <c r="Q351">
        <v>1</v>
      </c>
      <c r="X351">
        <v>0.1</v>
      </c>
      <c r="Y351">
        <v>106.87</v>
      </c>
      <c r="Z351">
        <v>0</v>
      </c>
      <c r="AA351">
        <v>0</v>
      </c>
      <c r="AB351">
        <v>0</v>
      </c>
      <c r="AC351">
        <v>0</v>
      </c>
      <c r="AD351">
        <v>1</v>
      </c>
      <c r="AE351">
        <v>0</v>
      </c>
      <c r="AF351" t="s">
        <v>3</v>
      </c>
      <c r="AG351">
        <v>0.1</v>
      </c>
      <c r="AH351">
        <v>3</v>
      </c>
      <c r="AI351">
        <v>-1</v>
      </c>
      <c r="AJ351" t="s">
        <v>3</v>
      </c>
      <c r="AK351">
        <v>0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0</v>
      </c>
      <c r="AR351">
        <v>0</v>
      </c>
    </row>
    <row r="352" spans="1:44" x14ac:dyDescent="0.2">
      <c r="A352">
        <f>ROW(Source!A652)</f>
        <v>652</v>
      </c>
      <c r="B352">
        <v>1471744456</v>
      </c>
      <c r="C352">
        <v>1471664486</v>
      </c>
      <c r="D352">
        <v>1441819193</v>
      </c>
      <c r="E352">
        <v>15514512</v>
      </c>
      <c r="F352">
        <v>1</v>
      </c>
      <c r="G352">
        <v>15514512</v>
      </c>
      <c r="H352">
        <v>1</v>
      </c>
      <c r="I352" t="s">
        <v>401</v>
      </c>
      <c r="J352" t="s">
        <v>3</v>
      </c>
      <c r="K352" t="s">
        <v>402</v>
      </c>
      <c r="L352">
        <v>1191</v>
      </c>
      <c r="N352">
        <v>1013</v>
      </c>
      <c r="O352" t="s">
        <v>403</v>
      </c>
      <c r="P352" t="s">
        <v>403</v>
      </c>
      <c r="Q352">
        <v>1</v>
      </c>
      <c r="X352">
        <v>0.8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1</v>
      </c>
      <c r="AE352">
        <v>1</v>
      </c>
      <c r="AF352" t="s">
        <v>163</v>
      </c>
      <c r="AG352">
        <v>2.4000000000000004</v>
      </c>
      <c r="AH352">
        <v>3</v>
      </c>
      <c r="AI352">
        <v>-1</v>
      </c>
      <c r="AJ352" t="s">
        <v>3</v>
      </c>
      <c r="AK352">
        <v>0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0</v>
      </c>
      <c r="AR352">
        <v>0</v>
      </c>
    </row>
    <row r="353" spans="1:44" x14ac:dyDescent="0.2">
      <c r="A353">
        <f>ROW(Source!A652)</f>
        <v>652</v>
      </c>
      <c r="B353">
        <v>1471744457</v>
      </c>
      <c r="C353">
        <v>1471664486</v>
      </c>
      <c r="D353">
        <v>1441822228</v>
      </c>
      <c r="E353">
        <v>15514512</v>
      </c>
      <c r="F353">
        <v>1</v>
      </c>
      <c r="G353">
        <v>15514512</v>
      </c>
      <c r="H353">
        <v>3</v>
      </c>
      <c r="I353" t="s">
        <v>451</v>
      </c>
      <c r="J353" t="s">
        <v>3</v>
      </c>
      <c r="K353" t="s">
        <v>452</v>
      </c>
      <c r="L353">
        <v>1346</v>
      </c>
      <c r="N353">
        <v>1009</v>
      </c>
      <c r="O353" t="s">
        <v>411</v>
      </c>
      <c r="P353" t="s">
        <v>411</v>
      </c>
      <c r="Q353">
        <v>1</v>
      </c>
      <c r="X353">
        <v>0.01</v>
      </c>
      <c r="Y353">
        <v>73.951729999999998</v>
      </c>
      <c r="Z353">
        <v>0</v>
      </c>
      <c r="AA353">
        <v>0</v>
      </c>
      <c r="AB353">
        <v>0</v>
      </c>
      <c r="AC353">
        <v>0</v>
      </c>
      <c r="AD353">
        <v>1</v>
      </c>
      <c r="AE353">
        <v>0</v>
      </c>
      <c r="AF353" t="s">
        <v>163</v>
      </c>
      <c r="AG353">
        <v>0.03</v>
      </c>
      <c r="AH353">
        <v>3</v>
      </c>
      <c r="AI353">
        <v>-1</v>
      </c>
      <c r="AJ353" t="s">
        <v>3</v>
      </c>
      <c r="AK353">
        <v>0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0</v>
      </c>
      <c r="AR353">
        <v>0</v>
      </c>
    </row>
    <row r="354" spans="1:44" x14ac:dyDescent="0.2">
      <c r="A354">
        <f>ROW(Source!A653)</f>
        <v>653</v>
      </c>
      <c r="B354">
        <v>1471744478</v>
      </c>
      <c r="C354">
        <v>1471664493</v>
      </c>
      <c r="D354">
        <v>1441819193</v>
      </c>
      <c r="E354">
        <v>15514512</v>
      </c>
      <c r="F354">
        <v>1</v>
      </c>
      <c r="G354">
        <v>15514512</v>
      </c>
      <c r="H354">
        <v>1</v>
      </c>
      <c r="I354" t="s">
        <v>401</v>
      </c>
      <c r="J354" t="s">
        <v>3</v>
      </c>
      <c r="K354" t="s">
        <v>402</v>
      </c>
      <c r="L354">
        <v>1191</v>
      </c>
      <c r="N354">
        <v>1013</v>
      </c>
      <c r="O354" t="s">
        <v>403</v>
      </c>
      <c r="P354" t="s">
        <v>403</v>
      </c>
      <c r="Q354">
        <v>1</v>
      </c>
      <c r="X354">
        <v>0.05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1</v>
      </c>
      <c r="AE354">
        <v>1</v>
      </c>
      <c r="AF354" t="s">
        <v>163</v>
      </c>
      <c r="AG354">
        <v>0.15000000000000002</v>
      </c>
      <c r="AH354">
        <v>3</v>
      </c>
      <c r="AI354">
        <v>-1</v>
      </c>
      <c r="AJ354" t="s">
        <v>3</v>
      </c>
      <c r="AK354">
        <v>0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0</v>
      </c>
      <c r="AR354">
        <v>0</v>
      </c>
    </row>
    <row r="355" spans="1:44" x14ac:dyDescent="0.2">
      <c r="A355">
        <f>ROW(Source!A654)</f>
        <v>654</v>
      </c>
      <c r="B355">
        <v>1471744510</v>
      </c>
      <c r="C355">
        <v>1471664497</v>
      </c>
      <c r="D355">
        <v>1441819193</v>
      </c>
      <c r="E355">
        <v>15514512</v>
      </c>
      <c r="F355">
        <v>1</v>
      </c>
      <c r="G355">
        <v>15514512</v>
      </c>
      <c r="H355">
        <v>1</v>
      </c>
      <c r="I355" t="s">
        <v>401</v>
      </c>
      <c r="J355" t="s">
        <v>3</v>
      </c>
      <c r="K355" t="s">
        <v>402</v>
      </c>
      <c r="L355">
        <v>1191</v>
      </c>
      <c r="N355">
        <v>1013</v>
      </c>
      <c r="O355" t="s">
        <v>403</v>
      </c>
      <c r="P355" t="s">
        <v>403</v>
      </c>
      <c r="Q355">
        <v>1</v>
      </c>
      <c r="X355">
        <v>1.5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1</v>
      </c>
      <c r="AE355">
        <v>1</v>
      </c>
      <c r="AF355" t="s">
        <v>3</v>
      </c>
      <c r="AG355">
        <v>1.5</v>
      </c>
      <c r="AH355">
        <v>3</v>
      </c>
      <c r="AI355">
        <v>-1</v>
      </c>
      <c r="AJ355" t="s">
        <v>3</v>
      </c>
      <c r="AK355">
        <v>0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0</v>
      </c>
      <c r="AR355">
        <v>0</v>
      </c>
    </row>
    <row r="356" spans="1:44" x14ac:dyDescent="0.2">
      <c r="A356">
        <f>ROW(Source!A654)</f>
        <v>654</v>
      </c>
      <c r="B356">
        <v>1471744512</v>
      </c>
      <c r="C356">
        <v>1471664497</v>
      </c>
      <c r="D356">
        <v>1441820422</v>
      </c>
      <c r="E356">
        <v>15514512</v>
      </c>
      <c r="F356">
        <v>1</v>
      </c>
      <c r="G356">
        <v>15514512</v>
      </c>
      <c r="H356">
        <v>3</v>
      </c>
      <c r="I356" t="s">
        <v>456</v>
      </c>
      <c r="J356" t="s">
        <v>3</v>
      </c>
      <c r="K356" t="s">
        <v>457</v>
      </c>
      <c r="L356">
        <v>1346</v>
      </c>
      <c r="N356">
        <v>1009</v>
      </c>
      <c r="O356" t="s">
        <v>411</v>
      </c>
      <c r="P356" t="s">
        <v>411</v>
      </c>
      <c r="Q356">
        <v>1</v>
      </c>
      <c r="X356">
        <v>4.0000000000000001E-3</v>
      </c>
      <c r="Y356">
        <v>1511.54088</v>
      </c>
      <c r="Z356">
        <v>0</v>
      </c>
      <c r="AA356">
        <v>0</v>
      </c>
      <c r="AB356">
        <v>0</v>
      </c>
      <c r="AC356">
        <v>0</v>
      </c>
      <c r="AD356">
        <v>1</v>
      </c>
      <c r="AE356">
        <v>0</v>
      </c>
      <c r="AF356" t="s">
        <v>3</v>
      </c>
      <c r="AG356">
        <v>4.0000000000000001E-3</v>
      </c>
      <c r="AH356">
        <v>3</v>
      </c>
      <c r="AI356">
        <v>-1</v>
      </c>
      <c r="AJ356" t="s">
        <v>3</v>
      </c>
      <c r="AK356">
        <v>0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0</v>
      </c>
      <c r="AR356">
        <v>0</v>
      </c>
    </row>
    <row r="357" spans="1:44" x14ac:dyDescent="0.2">
      <c r="A357">
        <f>ROW(Source!A654)</f>
        <v>654</v>
      </c>
      <c r="B357">
        <v>1471744513</v>
      </c>
      <c r="C357">
        <v>1471664497</v>
      </c>
      <c r="D357">
        <v>1441836235</v>
      </c>
      <c r="E357">
        <v>1</v>
      </c>
      <c r="F357">
        <v>1</v>
      </c>
      <c r="G357">
        <v>15514512</v>
      </c>
      <c r="H357">
        <v>3</v>
      </c>
      <c r="I357" t="s">
        <v>408</v>
      </c>
      <c r="J357" t="s">
        <v>409</v>
      </c>
      <c r="K357" t="s">
        <v>410</v>
      </c>
      <c r="L357">
        <v>1346</v>
      </c>
      <c r="N357">
        <v>1009</v>
      </c>
      <c r="O357" t="s">
        <v>411</v>
      </c>
      <c r="P357" t="s">
        <v>411</v>
      </c>
      <c r="Q357">
        <v>1</v>
      </c>
      <c r="X357">
        <v>0.01</v>
      </c>
      <c r="Y357">
        <v>31.49</v>
      </c>
      <c r="Z357">
        <v>0</v>
      </c>
      <c r="AA357">
        <v>0</v>
      </c>
      <c r="AB357">
        <v>0</v>
      </c>
      <c r="AC357">
        <v>0</v>
      </c>
      <c r="AD357">
        <v>1</v>
      </c>
      <c r="AE357">
        <v>0</v>
      </c>
      <c r="AF357" t="s">
        <v>3</v>
      </c>
      <c r="AG357">
        <v>0.01</v>
      </c>
      <c r="AH357">
        <v>3</v>
      </c>
      <c r="AI357">
        <v>-1</v>
      </c>
      <c r="AJ357" t="s">
        <v>3</v>
      </c>
      <c r="AK357">
        <v>0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0</v>
      </c>
      <c r="AR357">
        <v>0</v>
      </c>
    </row>
    <row r="358" spans="1:44" x14ac:dyDescent="0.2">
      <c r="A358">
        <f>ROW(Source!A654)</f>
        <v>654</v>
      </c>
      <c r="B358">
        <v>1471744514</v>
      </c>
      <c r="C358">
        <v>1471664497</v>
      </c>
      <c r="D358">
        <v>1441838748</v>
      </c>
      <c r="E358">
        <v>1</v>
      </c>
      <c r="F358">
        <v>1</v>
      </c>
      <c r="G358">
        <v>15514512</v>
      </c>
      <c r="H358">
        <v>3</v>
      </c>
      <c r="I358" t="s">
        <v>458</v>
      </c>
      <c r="J358" t="s">
        <v>459</v>
      </c>
      <c r="K358" t="s">
        <v>460</v>
      </c>
      <c r="L358">
        <v>1327</v>
      </c>
      <c r="N358">
        <v>1005</v>
      </c>
      <c r="O358" t="s">
        <v>461</v>
      </c>
      <c r="P358" t="s">
        <v>461</v>
      </c>
      <c r="Q358">
        <v>1</v>
      </c>
      <c r="X358">
        <v>1.0999999999999999E-2</v>
      </c>
      <c r="Y358">
        <v>208.99</v>
      </c>
      <c r="Z358">
        <v>0</v>
      </c>
      <c r="AA358">
        <v>0</v>
      </c>
      <c r="AB358">
        <v>0</v>
      </c>
      <c r="AC358">
        <v>0</v>
      </c>
      <c r="AD358">
        <v>1</v>
      </c>
      <c r="AE358">
        <v>0</v>
      </c>
      <c r="AF358" t="s">
        <v>3</v>
      </c>
      <c r="AG358">
        <v>1.0999999999999999E-2</v>
      </c>
      <c r="AH358">
        <v>3</v>
      </c>
      <c r="AI358">
        <v>-1</v>
      </c>
      <c r="AJ358" t="s">
        <v>3</v>
      </c>
      <c r="AK358">
        <v>0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0</v>
      </c>
      <c r="AR358">
        <v>0</v>
      </c>
    </row>
    <row r="359" spans="1:44" x14ac:dyDescent="0.2">
      <c r="A359">
        <f>ROW(Source!A654)</f>
        <v>654</v>
      </c>
      <c r="B359">
        <v>1471744511</v>
      </c>
      <c r="C359">
        <v>1471664497</v>
      </c>
      <c r="D359">
        <v>1441822228</v>
      </c>
      <c r="E359">
        <v>15514512</v>
      </c>
      <c r="F359">
        <v>1</v>
      </c>
      <c r="G359">
        <v>15514512</v>
      </c>
      <c r="H359">
        <v>3</v>
      </c>
      <c r="I359" t="s">
        <v>451</v>
      </c>
      <c r="J359" t="s">
        <v>3</v>
      </c>
      <c r="K359" t="s">
        <v>452</v>
      </c>
      <c r="L359">
        <v>1346</v>
      </c>
      <c r="N359">
        <v>1009</v>
      </c>
      <c r="O359" t="s">
        <v>411</v>
      </c>
      <c r="P359" t="s">
        <v>411</v>
      </c>
      <c r="Q359">
        <v>1</v>
      </c>
      <c r="X359">
        <v>2.3E-2</v>
      </c>
      <c r="Y359">
        <v>73.951729999999998</v>
      </c>
      <c r="Z359">
        <v>0</v>
      </c>
      <c r="AA359">
        <v>0</v>
      </c>
      <c r="AB359">
        <v>0</v>
      </c>
      <c r="AC359">
        <v>0</v>
      </c>
      <c r="AD359">
        <v>1</v>
      </c>
      <c r="AE359">
        <v>0</v>
      </c>
      <c r="AF359" t="s">
        <v>3</v>
      </c>
      <c r="AG359">
        <v>2.3E-2</v>
      </c>
      <c r="AH359">
        <v>3</v>
      </c>
      <c r="AI359">
        <v>-1</v>
      </c>
      <c r="AJ359" t="s">
        <v>3</v>
      </c>
      <c r="AK359">
        <v>0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0</v>
      </c>
      <c r="AR359">
        <v>0</v>
      </c>
    </row>
    <row r="360" spans="1:44" x14ac:dyDescent="0.2">
      <c r="A360">
        <f>ROW(Source!A654)</f>
        <v>654</v>
      </c>
      <c r="B360">
        <v>1471744515</v>
      </c>
      <c r="C360">
        <v>1471664497</v>
      </c>
      <c r="D360">
        <v>1441834920</v>
      </c>
      <c r="E360">
        <v>1</v>
      </c>
      <c r="F360">
        <v>1</v>
      </c>
      <c r="G360">
        <v>15514512</v>
      </c>
      <c r="H360">
        <v>3</v>
      </c>
      <c r="I360" t="s">
        <v>453</v>
      </c>
      <c r="J360" t="s">
        <v>454</v>
      </c>
      <c r="K360" t="s">
        <v>455</v>
      </c>
      <c r="L360">
        <v>1346</v>
      </c>
      <c r="N360">
        <v>1009</v>
      </c>
      <c r="O360" t="s">
        <v>411</v>
      </c>
      <c r="P360" t="s">
        <v>411</v>
      </c>
      <c r="Q360">
        <v>1</v>
      </c>
      <c r="X360">
        <v>1.9E-2</v>
      </c>
      <c r="Y360">
        <v>106.87</v>
      </c>
      <c r="Z360">
        <v>0</v>
      </c>
      <c r="AA360">
        <v>0</v>
      </c>
      <c r="AB360">
        <v>0</v>
      </c>
      <c r="AC360">
        <v>0</v>
      </c>
      <c r="AD360">
        <v>1</v>
      </c>
      <c r="AE360">
        <v>0</v>
      </c>
      <c r="AF360" t="s">
        <v>3</v>
      </c>
      <c r="AG360">
        <v>1.9E-2</v>
      </c>
      <c r="AH360">
        <v>3</v>
      </c>
      <c r="AI360">
        <v>-1</v>
      </c>
      <c r="AJ360" t="s">
        <v>3</v>
      </c>
      <c r="AK360">
        <v>0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0</v>
      </c>
      <c r="AR360">
        <v>0</v>
      </c>
    </row>
    <row r="361" spans="1:44" x14ac:dyDescent="0.2">
      <c r="A361">
        <f>ROW(Source!A655)</f>
        <v>655</v>
      </c>
      <c r="B361">
        <v>1471744529</v>
      </c>
      <c r="C361">
        <v>1471664516</v>
      </c>
      <c r="D361">
        <v>1441819193</v>
      </c>
      <c r="E361">
        <v>15514512</v>
      </c>
      <c r="F361">
        <v>1</v>
      </c>
      <c r="G361">
        <v>15514512</v>
      </c>
      <c r="H361">
        <v>1</v>
      </c>
      <c r="I361" t="s">
        <v>401</v>
      </c>
      <c r="J361" t="s">
        <v>3</v>
      </c>
      <c r="K361" t="s">
        <v>402</v>
      </c>
      <c r="L361">
        <v>1191</v>
      </c>
      <c r="N361">
        <v>1013</v>
      </c>
      <c r="O361" t="s">
        <v>403</v>
      </c>
      <c r="P361" t="s">
        <v>403</v>
      </c>
      <c r="Q361">
        <v>1</v>
      </c>
      <c r="X361">
        <v>0.3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1</v>
      </c>
      <c r="AE361">
        <v>1</v>
      </c>
      <c r="AF361" t="s">
        <v>42</v>
      </c>
      <c r="AG361">
        <v>0.6</v>
      </c>
      <c r="AH361">
        <v>3</v>
      </c>
      <c r="AI361">
        <v>-1</v>
      </c>
      <c r="AJ361" t="s">
        <v>3</v>
      </c>
      <c r="AK361">
        <v>0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0</v>
      </c>
      <c r="AR361">
        <v>0</v>
      </c>
    </row>
    <row r="362" spans="1:44" x14ac:dyDescent="0.2">
      <c r="A362">
        <f>ROW(Source!A655)</f>
        <v>655</v>
      </c>
      <c r="B362">
        <v>1471744530</v>
      </c>
      <c r="C362">
        <v>1471664516</v>
      </c>
      <c r="D362">
        <v>1441836235</v>
      </c>
      <c r="E362">
        <v>1</v>
      </c>
      <c r="F362">
        <v>1</v>
      </c>
      <c r="G362">
        <v>15514512</v>
      </c>
      <c r="H362">
        <v>3</v>
      </c>
      <c r="I362" t="s">
        <v>408</v>
      </c>
      <c r="J362" t="s">
        <v>409</v>
      </c>
      <c r="K362" t="s">
        <v>410</v>
      </c>
      <c r="L362">
        <v>1346</v>
      </c>
      <c r="N362">
        <v>1009</v>
      </c>
      <c r="O362" t="s">
        <v>411</v>
      </c>
      <c r="P362" t="s">
        <v>411</v>
      </c>
      <c r="Q362">
        <v>1</v>
      </c>
      <c r="X362">
        <v>0.05</v>
      </c>
      <c r="Y362">
        <v>31.49</v>
      </c>
      <c r="Z362">
        <v>0</v>
      </c>
      <c r="AA362">
        <v>0</v>
      </c>
      <c r="AB362">
        <v>0</v>
      </c>
      <c r="AC362">
        <v>0</v>
      </c>
      <c r="AD362">
        <v>1</v>
      </c>
      <c r="AE362">
        <v>0</v>
      </c>
      <c r="AF362" t="s">
        <v>42</v>
      </c>
      <c r="AG362">
        <v>0.1</v>
      </c>
      <c r="AH362">
        <v>3</v>
      </c>
      <c r="AI362">
        <v>-1</v>
      </c>
      <c r="AJ362" t="s">
        <v>3</v>
      </c>
      <c r="AK362">
        <v>0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0</v>
      </c>
      <c r="AR362">
        <v>0</v>
      </c>
    </row>
    <row r="363" spans="1:44" x14ac:dyDescent="0.2">
      <c r="A363">
        <f>ROW(Source!A655)</f>
        <v>655</v>
      </c>
      <c r="B363">
        <v>1471744531</v>
      </c>
      <c r="C363">
        <v>1471664516</v>
      </c>
      <c r="D363">
        <v>1441834628</v>
      </c>
      <c r="E363">
        <v>1</v>
      </c>
      <c r="F363">
        <v>1</v>
      </c>
      <c r="G363">
        <v>15514512</v>
      </c>
      <c r="H363">
        <v>3</v>
      </c>
      <c r="I363" t="s">
        <v>451</v>
      </c>
      <c r="J363" t="s">
        <v>462</v>
      </c>
      <c r="K363" t="s">
        <v>452</v>
      </c>
      <c r="L363">
        <v>1348</v>
      </c>
      <c r="N363">
        <v>1009</v>
      </c>
      <c r="O363" t="s">
        <v>426</v>
      </c>
      <c r="P363" t="s">
        <v>426</v>
      </c>
      <c r="Q363">
        <v>1000</v>
      </c>
      <c r="X363">
        <v>4.0000000000000003E-5</v>
      </c>
      <c r="Y363">
        <v>73951.73</v>
      </c>
      <c r="Z363">
        <v>0</v>
      </c>
      <c r="AA363">
        <v>0</v>
      </c>
      <c r="AB363">
        <v>0</v>
      </c>
      <c r="AC363">
        <v>0</v>
      </c>
      <c r="AD363">
        <v>1</v>
      </c>
      <c r="AE363">
        <v>0</v>
      </c>
      <c r="AF363" t="s">
        <v>42</v>
      </c>
      <c r="AG363">
        <v>8.0000000000000007E-5</v>
      </c>
      <c r="AH363">
        <v>3</v>
      </c>
      <c r="AI363">
        <v>-1</v>
      </c>
      <c r="AJ363" t="s">
        <v>3</v>
      </c>
      <c r="AK363">
        <v>0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0</v>
      </c>
      <c r="AR363">
        <v>0</v>
      </c>
    </row>
    <row r="364" spans="1:44" x14ac:dyDescent="0.2">
      <c r="A364">
        <f>ROW(Source!A656)</f>
        <v>656</v>
      </c>
      <c r="B364">
        <v>1471744644</v>
      </c>
      <c r="C364">
        <v>1471664526</v>
      </c>
      <c r="D364">
        <v>1441819193</v>
      </c>
      <c r="E364">
        <v>15514512</v>
      </c>
      <c r="F364">
        <v>1</v>
      </c>
      <c r="G364">
        <v>15514512</v>
      </c>
      <c r="H364">
        <v>1</v>
      </c>
      <c r="I364" t="s">
        <v>401</v>
      </c>
      <c r="J364" t="s">
        <v>3</v>
      </c>
      <c r="K364" t="s">
        <v>402</v>
      </c>
      <c r="L364">
        <v>1191</v>
      </c>
      <c r="N364">
        <v>1013</v>
      </c>
      <c r="O364" t="s">
        <v>403</v>
      </c>
      <c r="P364" t="s">
        <v>403</v>
      </c>
      <c r="Q364">
        <v>1</v>
      </c>
      <c r="X364">
        <v>0.04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1</v>
      </c>
      <c r="AE364">
        <v>1</v>
      </c>
      <c r="AF364" t="s">
        <v>163</v>
      </c>
      <c r="AG364">
        <v>0.12</v>
      </c>
      <c r="AH364">
        <v>3</v>
      </c>
      <c r="AI364">
        <v>-1</v>
      </c>
      <c r="AJ364" t="s">
        <v>3</v>
      </c>
      <c r="AK364">
        <v>0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0</v>
      </c>
      <c r="AR364">
        <v>0</v>
      </c>
    </row>
    <row r="365" spans="1:44" x14ac:dyDescent="0.2">
      <c r="A365">
        <f>ROW(Source!A656)</f>
        <v>656</v>
      </c>
      <c r="B365">
        <v>1471744645</v>
      </c>
      <c r="C365">
        <v>1471664526</v>
      </c>
      <c r="D365">
        <v>1441836235</v>
      </c>
      <c r="E365">
        <v>1</v>
      </c>
      <c r="F365">
        <v>1</v>
      </c>
      <c r="G365">
        <v>15514512</v>
      </c>
      <c r="H365">
        <v>3</v>
      </c>
      <c r="I365" t="s">
        <v>408</v>
      </c>
      <c r="J365" t="s">
        <v>409</v>
      </c>
      <c r="K365" t="s">
        <v>410</v>
      </c>
      <c r="L365">
        <v>1346</v>
      </c>
      <c r="N365">
        <v>1009</v>
      </c>
      <c r="O365" t="s">
        <v>411</v>
      </c>
      <c r="P365" t="s">
        <v>411</v>
      </c>
      <c r="Q365">
        <v>1</v>
      </c>
      <c r="X365">
        <v>2.0000000000000001E-4</v>
      </c>
      <c r="Y365">
        <v>31.49</v>
      </c>
      <c r="Z365">
        <v>0</v>
      </c>
      <c r="AA365">
        <v>0</v>
      </c>
      <c r="AB365">
        <v>0</v>
      </c>
      <c r="AC365">
        <v>0</v>
      </c>
      <c r="AD365">
        <v>1</v>
      </c>
      <c r="AE365">
        <v>0</v>
      </c>
      <c r="AF365" t="s">
        <v>163</v>
      </c>
      <c r="AG365">
        <v>6.0000000000000006E-4</v>
      </c>
      <c r="AH365">
        <v>3</v>
      </c>
      <c r="AI365">
        <v>-1</v>
      </c>
      <c r="AJ365" t="s">
        <v>3</v>
      </c>
      <c r="AK365">
        <v>0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0</v>
      </c>
      <c r="AR365">
        <v>0</v>
      </c>
    </row>
    <row r="366" spans="1:44" x14ac:dyDescent="0.2">
      <c r="A366">
        <f>ROW(Source!A657)</f>
        <v>657</v>
      </c>
      <c r="B366">
        <v>1471744671</v>
      </c>
      <c r="C366">
        <v>1471664533</v>
      </c>
      <c r="D366">
        <v>1441819193</v>
      </c>
      <c r="E366">
        <v>15514512</v>
      </c>
      <c r="F366">
        <v>1</v>
      </c>
      <c r="G366">
        <v>15514512</v>
      </c>
      <c r="H366">
        <v>1</v>
      </c>
      <c r="I366" t="s">
        <v>401</v>
      </c>
      <c r="J366" t="s">
        <v>3</v>
      </c>
      <c r="K366" t="s">
        <v>402</v>
      </c>
      <c r="L366">
        <v>1191</v>
      </c>
      <c r="N366">
        <v>1013</v>
      </c>
      <c r="O366" t="s">
        <v>403</v>
      </c>
      <c r="P366" t="s">
        <v>403</v>
      </c>
      <c r="Q366">
        <v>1</v>
      </c>
      <c r="X366">
        <v>1.2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1</v>
      </c>
      <c r="AE366">
        <v>1</v>
      </c>
      <c r="AF366" t="s">
        <v>3</v>
      </c>
      <c r="AG366">
        <v>1.2</v>
      </c>
      <c r="AH366">
        <v>3</v>
      </c>
      <c r="AI366">
        <v>-1</v>
      </c>
      <c r="AJ366" t="s">
        <v>3</v>
      </c>
      <c r="AK366">
        <v>0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0</v>
      </c>
      <c r="AR366">
        <v>0</v>
      </c>
    </row>
    <row r="367" spans="1:44" x14ac:dyDescent="0.2">
      <c r="A367">
        <f>ROW(Source!A657)</f>
        <v>657</v>
      </c>
      <c r="B367">
        <v>1471744672</v>
      </c>
      <c r="C367">
        <v>1471664533</v>
      </c>
      <c r="D367">
        <v>1441836235</v>
      </c>
      <c r="E367">
        <v>1</v>
      </c>
      <c r="F367">
        <v>1</v>
      </c>
      <c r="G367">
        <v>15514512</v>
      </c>
      <c r="H367">
        <v>3</v>
      </c>
      <c r="I367" t="s">
        <v>408</v>
      </c>
      <c r="J367" t="s">
        <v>409</v>
      </c>
      <c r="K367" t="s">
        <v>410</v>
      </c>
      <c r="L367">
        <v>1346</v>
      </c>
      <c r="N367">
        <v>1009</v>
      </c>
      <c r="O367" t="s">
        <v>411</v>
      </c>
      <c r="P367" t="s">
        <v>411</v>
      </c>
      <c r="Q367">
        <v>1</v>
      </c>
      <c r="X367">
        <v>7.0000000000000001E-3</v>
      </c>
      <c r="Y367">
        <v>31.49</v>
      </c>
      <c r="Z367">
        <v>0</v>
      </c>
      <c r="AA367">
        <v>0</v>
      </c>
      <c r="AB367">
        <v>0</v>
      </c>
      <c r="AC367">
        <v>0</v>
      </c>
      <c r="AD367">
        <v>1</v>
      </c>
      <c r="AE367">
        <v>0</v>
      </c>
      <c r="AF367" t="s">
        <v>3</v>
      </c>
      <c r="AG367">
        <v>7.0000000000000001E-3</v>
      </c>
      <c r="AH367">
        <v>3</v>
      </c>
      <c r="AI367">
        <v>-1</v>
      </c>
      <c r="AJ367" t="s">
        <v>3</v>
      </c>
      <c r="AK367">
        <v>0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0</v>
      </c>
      <c r="AR367">
        <v>0</v>
      </c>
    </row>
    <row r="368" spans="1:44" x14ac:dyDescent="0.2">
      <c r="A368">
        <f>ROW(Source!A657)</f>
        <v>657</v>
      </c>
      <c r="B368">
        <v>1471744673</v>
      </c>
      <c r="C368">
        <v>1471664533</v>
      </c>
      <c r="D368">
        <v>1441834628</v>
      </c>
      <c r="E368">
        <v>1</v>
      </c>
      <c r="F368">
        <v>1</v>
      </c>
      <c r="G368">
        <v>15514512</v>
      </c>
      <c r="H368">
        <v>3</v>
      </c>
      <c r="I368" t="s">
        <v>451</v>
      </c>
      <c r="J368" t="s">
        <v>462</v>
      </c>
      <c r="K368" t="s">
        <v>452</v>
      </c>
      <c r="L368">
        <v>1348</v>
      </c>
      <c r="N368">
        <v>1009</v>
      </c>
      <c r="O368" t="s">
        <v>426</v>
      </c>
      <c r="P368" t="s">
        <v>426</v>
      </c>
      <c r="Q368">
        <v>1000</v>
      </c>
      <c r="X368">
        <v>2.0000000000000002E-5</v>
      </c>
      <c r="Y368">
        <v>73951.73</v>
      </c>
      <c r="Z368">
        <v>0</v>
      </c>
      <c r="AA368">
        <v>0</v>
      </c>
      <c r="AB368">
        <v>0</v>
      </c>
      <c r="AC368">
        <v>0</v>
      </c>
      <c r="AD368">
        <v>1</v>
      </c>
      <c r="AE368">
        <v>0</v>
      </c>
      <c r="AF368" t="s">
        <v>3</v>
      </c>
      <c r="AG368">
        <v>2.0000000000000002E-5</v>
      </c>
      <c r="AH368">
        <v>3</v>
      </c>
      <c r="AI368">
        <v>-1</v>
      </c>
      <c r="AJ368" t="s">
        <v>3</v>
      </c>
      <c r="AK368">
        <v>0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0</v>
      </c>
      <c r="AR368">
        <v>0</v>
      </c>
    </row>
    <row r="369" spans="1:44" x14ac:dyDescent="0.2">
      <c r="A369">
        <f>ROW(Source!A658)</f>
        <v>658</v>
      </c>
      <c r="B369">
        <v>1471744694</v>
      </c>
      <c r="C369">
        <v>1471664543</v>
      </c>
      <c r="D369">
        <v>1441819193</v>
      </c>
      <c r="E369">
        <v>15514512</v>
      </c>
      <c r="F369">
        <v>1</v>
      </c>
      <c r="G369">
        <v>15514512</v>
      </c>
      <c r="H369">
        <v>1</v>
      </c>
      <c r="I369" t="s">
        <v>401</v>
      </c>
      <c r="J369" t="s">
        <v>3</v>
      </c>
      <c r="K369" t="s">
        <v>402</v>
      </c>
      <c r="L369">
        <v>1191</v>
      </c>
      <c r="N369">
        <v>1013</v>
      </c>
      <c r="O369" t="s">
        <v>403</v>
      </c>
      <c r="P369" t="s">
        <v>403</v>
      </c>
      <c r="Q369">
        <v>1</v>
      </c>
      <c r="X369">
        <v>0.04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1</v>
      </c>
      <c r="AE369">
        <v>1</v>
      </c>
      <c r="AF369" t="s">
        <v>163</v>
      </c>
      <c r="AG369">
        <v>0.12</v>
      </c>
      <c r="AH369">
        <v>3</v>
      </c>
      <c r="AI369">
        <v>-1</v>
      </c>
      <c r="AJ369" t="s">
        <v>3</v>
      </c>
      <c r="AK369">
        <v>0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0</v>
      </c>
      <c r="AR369">
        <v>0</v>
      </c>
    </row>
    <row r="370" spans="1:44" x14ac:dyDescent="0.2">
      <c r="A370">
        <f>ROW(Source!A658)</f>
        <v>658</v>
      </c>
      <c r="B370">
        <v>1471744695</v>
      </c>
      <c r="C370">
        <v>1471664543</v>
      </c>
      <c r="D370">
        <v>1441836235</v>
      </c>
      <c r="E370">
        <v>1</v>
      </c>
      <c r="F370">
        <v>1</v>
      </c>
      <c r="G370">
        <v>15514512</v>
      </c>
      <c r="H370">
        <v>3</v>
      </c>
      <c r="I370" t="s">
        <v>408</v>
      </c>
      <c r="J370" t="s">
        <v>409</v>
      </c>
      <c r="K370" t="s">
        <v>410</v>
      </c>
      <c r="L370">
        <v>1346</v>
      </c>
      <c r="N370">
        <v>1009</v>
      </c>
      <c r="O370" t="s">
        <v>411</v>
      </c>
      <c r="P370" t="s">
        <v>411</v>
      </c>
      <c r="Q370">
        <v>1</v>
      </c>
      <c r="X370">
        <v>2.0000000000000001E-4</v>
      </c>
      <c r="Y370">
        <v>31.49</v>
      </c>
      <c r="Z370">
        <v>0</v>
      </c>
      <c r="AA370">
        <v>0</v>
      </c>
      <c r="AB370">
        <v>0</v>
      </c>
      <c r="AC370">
        <v>0</v>
      </c>
      <c r="AD370">
        <v>1</v>
      </c>
      <c r="AE370">
        <v>0</v>
      </c>
      <c r="AF370" t="s">
        <v>163</v>
      </c>
      <c r="AG370">
        <v>6.0000000000000006E-4</v>
      </c>
      <c r="AH370">
        <v>3</v>
      </c>
      <c r="AI370">
        <v>-1</v>
      </c>
      <c r="AJ370" t="s">
        <v>3</v>
      </c>
      <c r="AK370">
        <v>0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0</v>
      </c>
      <c r="AR370">
        <v>0</v>
      </c>
    </row>
    <row r="371" spans="1:44" x14ac:dyDescent="0.2">
      <c r="A371">
        <f>ROW(Source!A659)</f>
        <v>659</v>
      </c>
      <c r="B371">
        <v>1471744722</v>
      </c>
      <c r="C371">
        <v>1471664550</v>
      </c>
      <c r="D371">
        <v>1441819193</v>
      </c>
      <c r="E371">
        <v>15514512</v>
      </c>
      <c r="F371">
        <v>1</v>
      </c>
      <c r="G371">
        <v>15514512</v>
      </c>
      <c r="H371">
        <v>1</v>
      </c>
      <c r="I371" t="s">
        <v>401</v>
      </c>
      <c r="J371" t="s">
        <v>3</v>
      </c>
      <c r="K371" t="s">
        <v>402</v>
      </c>
      <c r="L371">
        <v>1191</v>
      </c>
      <c r="N371">
        <v>1013</v>
      </c>
      <c r="O371" t="s">
        <v>403</v>
      </c>
      <c r="P371" t="s">
        <v>403</v>
      </c>
      <c r="Q371">
        <v>1</v>
      </c>
      <c r="X371">
        <v>1.2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1</v>
      </c>
      <c r="AE371">
        <v>1</v>
      </c>
      <c r="AF371" t="s">
        <v>3</v>
      </c>
      <c r="AG371">
        <v>1.2</v>
      </c>
      <c r="AH371">
        <v>3</v>
      </c>
      <c r="AI371">
        <v>-1</v>
      </c>
      <c r="AJ371" t="s">
        <v>3</v>
      </c>
      <c r="AK371">
        <v>0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0</v>
      </c>
      <c r="AR371">
        <v>0</v>
      </c>
    </row>
    <row r="372" spans="1:44" x14ac:dyDescent="0.2">
      <c r="A372">
        <f>ROW(Source!A659)</f>
        <v>659</v>
      </c>
      <c r="B372">
        <v>1471744724</v>
      </c>
      <c r="C372">
        <v>1471664550</v>
      </c>
      <c r="D372">
        <v>1441836235</v>
      </c>
      <c r="E372">
        <v>1</v>
      </c>
      <c r="F372">
        <v>1</v>
      </c>
      <c r="G372">
        <v>15514512</v>
      </c>
      <c r="H372">
        <v>3</v>
      </c>
      <c r="I372" t="s">
        <v>408</v>
      </c>
      <c r="J372" t="s">
        <v>409</v>
      </c>
      <c r="K372" t="s">
        <v>410</v>
      </c>
      <c r="L372">
        <v>1346</v>
      </c>
      <c r="N372">
        <v>1009</v>
      </c>
      <c r="O372" t="s">
        <v>411</v>
      </c>
      <c r="P372" t="s">
        <v>411</v>
      </c>
      <c r="Q372">
        <v>1</v>
      </c>
      <c r="X372">
        <v>7.0000000000000001E-3</v>
      </c>
      <c r="Y372">
        <v>31.49</v>
      </c>
      <c r="Z372">
        <v>0</v>
      </c>
      <c r="AA372">
        <v>0</v>
      </c>
      <c r="AB372">
        <v>0</v>
      </c>
      <c r="AC372">
        <v>0</v>
      </c>
      <c r="AD372">
        <v>1</v>
      </c>
      <c r="AE372">
        <v>0</v>
      </c>
      <c r="AF372" t="s">
        <v>3</v>
      </c>
      <c r="AG372">
        <v>7.0000000000000001E-3</v>
      </c>
      <c r="AH372">
        <v>3</v>
      </c>
      <c r="AI372">
        <v>-1</v>
      </c>
      <c r="AJ372" t="s">
        <v>3</v>
      </c>
      <c r="AK372">
        <v>0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0</v>
      </c>
      <c r="AR372">
        <v>0</v>
      </c>
    </row>
    <row r="373" spans="1:44" x14ac:dyDescent="0.2">
      <c r="A373">
        <f>ROW(Source!A659)</f>
        <v>659</v>
      </c>
      <c r="B373">
        <v>1471744726</v>
      </c>
      <c r="C373">
        <v>1471664550</v>
      </c>
      <c r="D373">
        <v>1441834628</v>
      </c>
      <c r="E373">
        <v>1</v>
      </c>
      <c r="F373">
        <v>1</v>
      </c>
      <c r="G373">
        <v>15514512</v>
      </c>
      <c r="H373">
        <v>3</v>
      </c>
      <c r="I373" t="s">
        <v>451</v>
      </c>
      <c r="J373" t="s">
        <v>462</v>
      </c>
      <c r="K373" t="s">
        <v>452</v>
      </c>
      <c r="L373">
        <v>1348</v>
      </c>
      <c r="N373">
        <v>1009</v>
      </c>
      <c r="O373" t="s">
        <v>426</v>
      </c>
      <c r="P373" t="s">
        <v>426</v>
      </c>
      <c r="Q373">
        <v>1000</v>
      </c>
      <c r="X373">
        <v>2.0000000000000002E-5</v>
      </c>
      <c r="Y373">
        <v>73951.73</v>
      </c>
      <c r="Z373">
        <v>0</v>
      </c>
      <c r="AA373">
        <v>0</v>
      </c>
      <c r="AB373">
        <v>0</v>
      </c>
      <c r="AC373">
        <v>0</v>
      </c>
      <c r="AD373">
        <v>1</v>
      </c>
      <c r="AE373">
        <v>0</v>
      </c>
      <c r="AF373" t="s">
        <v>3</v>
      </c>
      <c r="AG373">
        <v>2.0000000000000002E-5</v>
      </c>
      <c r="AH373">
        <v>3</v>
      </c>
      <c r="AI373">
        <v>-1</v>
      </c>
      <c r="AJ373" t="s">
        <v>3</v>
      </c>
      <c r="AK373">
        <v>0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0</v>
      </c>
      <c r="AR373">
        <v>0</v>
      </c>
    </row>
    <row r="374" spans="1:44" x14ac:dyDescent="0.2">
      <c r="A374">
        <f>ROW(Source!A660)</f>
        <v>660</v>
      </c>
      <c r="B374">
        <v>1471744752</v>
      </c>
      <c r="C374">
        <v>1471664560</v>
      </c>
      <c r="D374">
        <v>1441819193</v>
      </c>
      <c r="E374">
        <v>15514512</v>
      </c>
      <c r="F374">
        <v>1</v>
      </c>
      <c r="G374">
        <v>15514512</v>
      </c>
      <c r="H374">
        <v>1</v>
      </c>
      <c r="I374" t="s">
        <v>401</v>
      </c>
      <c r="J374" t="s">
        <v>3</v>
      </c>
      <c r="K374" t="s">
        <v>402</v>
      </c>
      <c r="L374">
        <v>1191</v>
      </c>
      <c r="N374">
        <v>1013</v>
      </c>
      <c r="O374" t="s">
        <v>403</v>
      </c>
      <c r="P374" t="s">
        <v>403</v>
      </c>
      <c r="Q374">
        <v>1</v>
      </c>
      <c r="X374">
        <v>0.3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1</v>
      </c>
      <c r="AE374">
        <v>1</v>
      </c>
      <c r="AF374" t="s">
        <v>42</v>
      </c>
      <c r="AG374">
        <v>0.6</v>
      </c>
      <c r="AH374">
        <v>3</v>
      </c>
      <c r="AI374">
        <v>-1</v>
      </c>
      <c r="AJ374" t="s">
        <v>3</v>
      </c>
      <c r="AK374">
        <v>0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0</v>
      </c>
      <c r="AR374">
        <v>0</v>
      </c>
    </row>
    <row r="375" spans="1:44" x14ac:dyDescent="0.2">
      <c r="A375">
        <f>ROW(Source!A660)</f>
        <v>660</v>
      </c>
      <c r="B375">
        <v>1471744753</v>
      </c>
      <c r="C375">
        <v>1471664560</v>
      </c>
      <c r="D375">
        <v>1441836235</v>
      </c>
      <c r="E375">
        <v>1</v>
      </c>
      <c r="F375">
        <v>1</v>
      </c>
      <c r="G375">
        <v>15514512</v>
      </c>
      <c r="H375">
        <v>3</v>
      </c>
      <c r="I375" t="s">
        <v>408</v>
      </c>
      <c r="J375" t="s">
        <v>409</v>
      </c>
      <c r="K375" t="s">
        <v>410</v>
      </c>
      <c r="L375">
        <v>1346</v>
      </c>
      <c r="N375">
        <v>1009</v>
      </c>
      <c r="O375" t="s">
        <v>411</v>
      </c>
      <c r="P375" t="s">
        <v>411</v>
      </c>
      <c r="Q375">
        <v>1</v>
      </c>
      <c r="X375">
        <v>0.05</v>
      </c>
      <c r="Y375">
        <v>31.49</v>
      </c>
      <c r="Z375">
        <v>0</v>
      </c>
      <c r="AA375">
        <v>0</v>
      </c>
      <c r="AB375">
        <v>0</v>
      </c>
      <c r="AC375">
        <v>0</v>
      </c>
      <c r="AD375">
        <v>1</v>
      </c>
      <c r="AE375">
        <v>0</v>
      </c>
      <c r="AF375" t="s">
        <v>42</v>
      </c>
      <c r="AG375">
        <v>0.1</v>
      </c>
      <c r="AH375">
        <v>3</v>
      </c>
      <c r="AI375">
        <v>-1</v>
      </c>
      <c r="AJ375" t="s">
        <v>3</v>
      </c>
      <c r="AK375">
        <v>0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0</v>
      </c>
      <c r="AR375">
        <v>0</v>
      </c>
    </row>
    <row r="376" spans="1:44" x14ac:dyDescent="0.2">
      <c r="A376">
        <f>ROW(Source!A660)</f>
        <v>660</v>
      </c>
      <c r="B376">
        <v>1471744754</v>
      </c>
      <c r="C376">
        <v>1471664560</v>
      </c>
      <c r="D376">
        <v>1441834628</v>
      </c>
      <c r="E376">
        <v>1</v>
      </c>
      <c r="F376">
        <v>1</v>
      </c>
      <c r="G376">
        <v>15514512</v>
      </c>
      <c r="H376">
        <v>3</v>
      </c>
      <c r="I376" t="s">
        <v>451</v>
      </c>
      <c r="J376" t="s">
        <v>462</v>
      </c>
      <c r="K376" t="s">
        <v>452</v>
      </c>
      <c r="L376">
        <v>1348</v>
      </c>
      <c r="N376">
        <v>1009</v>
      </c>
      <c r="O376" t="s">
        <v>426</v>
      </c>
      <c r="P376" t="s">
        <v>426</v>
      </c>
      <c r="Q376">
        <v>1000</v>
      </c>
      <c r="X376">
        <v>4.0000000000000003E-5</v>
      </c>
      <c r="Y376">
        <v>73951.73</v>
      </c>
      <c r="Z376">
        <v>0</v>
      </c>
      <c r="AA376">
        <v>0</v>
      </c>
      <c r="AB376">
        <v>0</v>
      </c>
      <c r="AC376">
        <v>0</v>
      </c>
      <c r="AD376">
        <v>1</v>
      </c>
      <c r="AE376">
        <v>0</v>
      </c>
      <c r="AF376" t="s">
        <v>42</v>
      </c>
      <c r="AG376">
        <v>8.0000000000000007E-5</v>
      </c>
      <c r="AH376">
        <v>3</v>
      </c>
      <c r="AI376">
        <v>-1</v>
      </c>
      <c r="AJ376" t="s">
        <v>3</v>
      </c>
      <c r="AK376">
        <v>0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0</v>
      </c>
      <c r="AR376">
        <v>0</v>
      </c>
    </row>
    <row r="377" spans="1:44" x14ac:dyDescent="0.2">
      <c r="A377">
        <f>ROW(Source!A662)</f>
        <v>662</v>
      </c>
      <c r="B377">
        <v>1471744863</v>
      </c>
      <c r="C377">
        <v>1471664571</v>
      </c>
      <c r="D377">
        <v>1441819193</v>
      </c>
      <c r="E377">
        <v>15514512</v>
      </c>
      <c r="F377">
        <v>1</v>
      </c>
      <c r="G377">
        <v>15514512</v>
      </c>
      <c r="H377">
        <v>1</v>
      </c>
      <c r="I377" t="s">
        <v>401</v>
      </c>
      <c r="J377" t="s">
        <v>3</v>
      </c>
      <c r="K377" t="s">
        <v>402</v>
      </c>
      <c r="L377">
        <v>1191</v>
      </c>
      <c r="N377">
        <v>1013</v>
      </c>
      <c r="O377" t="s">
        <v>403</v>
      </c>
      <c r="P377" t="s">
        <v>403</v>
      </c>
      <c r="Q377">
        <v>1</v>
      </c>
      <c r="X377">
        <v>0.4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1</v>
      </c>
      <c r="AE377">
        <v>1</v>
      </c>
      <c r="AF377" t="s">
        <v>231</v>
      </c>
      <c r="AG377">
        <v>0.41600000000000004</v>
      </c>
      <c r="AH377">
        <v>3</v>
      </c>
      <c r="AI377">
        <v>-1</v>
      </c>
      <c r="AJ377" t="s">
        <v>3</v>
      </c>
      <c r="AK377">
        <v>0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0</v>
      </c>
      <c r="AR377">
        <v>0</v>
      </c>
    </row>
    <row r="378" spans="1:44" x14ac:dyDescent="0.2">
      <c r="A378">
        <f>ROW(Source!A662)</f>
        <v>662</v>
      </c>
      <c r="B378">
        <v>1471744864</v>
      </c>
      <c r="C378">
        <v>1471664571</v>
      </c>
      <c r="D378">
        <v>1441836235</v>
      </c>
      <c r="E378">
        <v>1</v>
      </c>
      <c r="F378">
        <v>1</v>
      </c>
      <c r="G378">
        <v>15514512</v>
      </c>
      <c r="H378">
        <v>3</v>
      </c>
      <c r="I378" t="s">
        <v>408</v>
      </c>
      <c r="J378" t="s">
        <v>409</v>
      </c>
      <c r="K378" t="s">
        <v>410</v>
      </c>
      <c r="L378">
        <v>1346</v>
      </c>
      <c r="N378">
        <v>1009</v>
      </c>
      <c r="O378" t="s">
        <v>411</v>
      </c>
      <c r="P378" t="s">
        <v>411</v>
      </c>
      <c r="Q378">
        <v>1</v>
      </c>
      <c r="X378">
        <v>0.04</v>
      </c>
      <c r="Y378">
        <v>31.49</v>
      </c>
      <c r="Z378">
        <v>0</v>
      </c>
      <c r="AA378">
        <v>0</v>
      </c>
      <c r="AB378">
        <v>0</v>
      </c>
      <c r="AC378">
        <v>0</v>
      </c>
      <c r="AD378">
        <v>1</v>
      </c>
      <c r="AE378">
        <v>0</v>
      </c>
      <c r="AF378" t="s">
        <v>3</v>
      </c>
      <c r="AG378">
        <v>0.04</v>
      </c>
      <c r="AH378">
        <v>3</v>
      </c>
      <c r="AI378">
        <v>-1</v>
      </c>
      <c r="AJ378" t="s">
        <v>3</v>
      </c>
      <c r="AK378">
        <v>0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0</v>
      </c>
      <c r="AR378">
        <v>0</v>
      </c>
    </row>
    <row r="379" spans="1:44" x14ac:dyDescent="0.2">
      <c r="A379">
        <f>ROW(Source!A663)</f>
        <v>663</v>
      </c>
      <c r="B379">
        <v>1471744962</v>
      </c>
      <c r="C379">
        <v>1471664578</v>
      </c>
      <c r="D379">
        <v>1441819193</v>
      </c>
      <c r="E379">
        <v>15514512</v>
      </c>
      <c r="F379">
        <v>1</v>
      </c>
      <c r="G379">
        <v>15514512</v>
      </c>
      <c r="H379">
        <v>1</v>
      </c>
      <c r="I379" t="s">
        <v>401</v>
      </c>
      <c r="J379" t="s">
        <v>3</v>
      </c>
      <c r="K379" t="s">
        <v>402</v>
      </c>
      <c r="L379">
        <v>1191</v>
      </c>
      <c r="N379">
        <v>1013</v>
      </c>
      <c r="O379" t="s">
        <v>403</v>
      </c>
      <c r="P379" t="s">
        <v>403</v>
      </c>
      <c r="Q379">
        <v>1</v>
      </c>
      <c r="X379">
        <v>0.18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1</v>
      </c>
      <c r="AE379">
        <v>1</v>
      </c>
      <c r="AF379" t="s">
        <v>231</v>
      </c>
      <c r="AG379">
        <v>0.18720000000000001</v>
      </c>
      <c r="AH379">
        <v>3</v>
      </c>
      <c r="AI379">
        <v>-1</v>
      </c>
      <c r="AJ379" t="s">
        <v>3</v>
      </c>
      <c r="AK379">
        <v>0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0</v>
      </c>
      <c r="AR379">
        <v>0</v>
      </c>
    </row>
    <row r="380" spans="1:44" x14ac:dyDescent="0.2">
      <c r="A380">
        <f>ROW(Source!A663)</f>
        <v>663</v>
      </c>
      <c r="B380">
        <v>1471744963</v>
      </c>
      <c r="C380">
        <v>1471664578</v>
      </c>
      <c r="D380">
        <v>1441836235</v>
      </c>
      <c r="E380">
        <v>1</v>
      </c>
      <c r="F380">
        <v>1</v>
      </c>
      <c r="G380">
        <v>15514512</v>
      </c>
      <c r="H380">
        <v>3</v>
      </c>
      <c r="I380" t="s">
        <v>408</v>
      </c>
      <c r="J380" t="s">
        <v>409</v>
      </c>
      <c r="K380" t="s">
        <v>410</v>
      </c>
      <c r="L380">
        <v>1346</v>
      </c>
      <c r="N380">
        <v>1009</v>
      </c>
      <c r="O380" t="s">
        <v>411</v>
      </c>
      <c r="P380" t="s">
        <v>411</v>
      </c>
      <c r="Q380">
        <v>1</v>
      </c>
      <c r="X380">
        <v>0.04</v>
      </c>
      <c r="Y380">
        <v>31.49</v>
      </c>
      <c r="Z380">
        <v>0</v>
      </c>
      <c r="AA380">
        <v>0</v>
      </c>
      <c r="AB380">
        <v>0</v>
      </c>
      <c r="AC380">
        <v>0</v>
      </c>
      <c r="AD380">
        <v>1</v>
      </c>
      <c r="AE380">
        <v>0</v>
      </c>
      <c r="AF380" t="s">
        <v>3</v>
      </c>
      <c r="AG380">
        <v>0.04</v>
      </c>
      <c r="AH380">
        <v>3</v>
      </c>
      <c r="AI380">
        <v>-1</v>
      </c>
      <c r="AJ380" t="s">
        <v>3</v>
      </c>
      <c r="AK380">
        <v>0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0</v>
      </c>
      <c r="AR380">
        <v>0</v>
      </c>
    </row>
    <row r="381" spans="1:44" x14ac:dyDescent="0.2">
      <c r="A381">
        <f>ROW(Source!A664)</f>
        <v>664</v>
      </c>
      <c r="B381">
        <v>1471745075</v>
      </c>
      <c r="C381">
        <v>1471664585</v>
      </c>
      <c r="D381">
        <v>1441819193</v>
      </c>
      <c r="E381">
        <v>15514512</v>
      </c>
      <c r="F381">
        <v>1</v>
      </c>
      <c r="G381">
        <v>15514512</v>
      </c>
      <c r="H381">
        <v>1</v>
      </c>
      <c r="I381" t="s">
        <v>401</v>
      </c>
      <c r="J381" t="s">
        <v>3</v>
      </c>
      <c r="K381" t="s">
        <v>402</v>
      </c>
      <c r="L381">
        <v>1191</v>
      </c>
      <c r="N381">
        <v>1013</v>
      </c>
      <c r="O381" t="s">
        <v>403</v>
      </c>
      <c r="P381" t="s">
        <v>403</v>
      </c>
      <c r="Q381">
        <v>1</v>
      </c>
      <c r="X381">
        <v>0.3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1</v>
      </c>
      <c r="AE381">
        <v>1</v>
      </c>
      <c r="AF381" t="s">
        <v>231</v>
      </c>
      <c r="AG381">
        <v>0.312</v>
      </c>
      <c r="AH381">
        <v>3</v>
      </c>
      <c r="AI381">
        <v>-1</v>
      </c>
      <c r="AJ381" t="s">
        <v>3</v>
      </c>
      <c r="AK381">
        <v>0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0</v>
      </c>
      <c r="AR381">
        <v>0</v>
      </c>
    </row>
    <row r="382" spans="1:44" x14ac:dyDescent="0.2">
      <c r="A382">
        <f>ROW(Source!A664)</f>
        <v>664</v>
      </c>
      <c r="B382">
        <v>1471745077</v>
      </c>
      <c r="C382">
        <v>1471664585</v>
      </c>
      <c r="D382">
        <v>1441836235</v>
      </c>
      <c r="E382">
        <v>1</v>
      </c>
      <c r="F382">
        <v>1</v>
      </c>
      <c r="G382">
        <v>15514512</v>
      </c>
      <c r="H382">
        <v>3</v>
      </c>
      <c r="I382" t="s">
        <v>408</v>
      </c>
      <c r="J382" t="s">
        <v>409</v>
      </c>
      <c r="K382" t="s">
        <v>410</v>
      </c>
      <c r="L382">
        <v>1346</v>
      </c>
      <c r="N382">
        <v>1009</v>
      </c>
      <c r="O382" t="s">
        <v>411</v>
      </c>
      <c r="P382" t="s">
        <v>411</v>
      </c>
      <c r="Q382">
        <v>1</v>
      </c>
      <c r="X382">
        <v>0.02</v>
      </c>
      <c r="Y382">
        <v>31.49</v>
      </c>
      <c r="Z382">
        <v>0</v>
      </c>
      <c r="AA382">
        <v>0</v>
      </c>
      <c r="AB382">
        <v>0</v>
      </c>
      <c r="AC382">
        <v>0</v>
      </c>
      <c r="AD382">
        <v>1</v>
      </c>
      <c r="AE382">
        <v>0</v>
      </c>
      <c r="AF382" t="s">
        <v>3</v>
      </c>
      <c r="AG382">
        <v>0.02</v>
      </c>
      <c r="AH382">
        <v>3</v>
      </c>
      <c r="AI382">
        <v>-1</v>
      </c>
      <c r="AJ382" t="s">
        <v>3</v>
      </c>
      <c r="AK382">
        <v>0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0</v>
      </c>
      <c r="AR382">
        <v>0</v>
      </c>
    </row>
    <row r="383" spans="1:44" x14ac:dyDescent="0.2">
      <c r="A383">
        <f>ROW(Source!A666)</f>
        <v>666</v>
      </c>
      <c r="B383">
        <v>1471745184</v>
      </c>
      <c r="C383">
        <v>1471664593</v>
      </c>
      <c r="D383">
        <v>1441819193</v>
      </c>
      <c r="E383">
        <v>15514512</v>
      </c>
      <c r="F383">
        <v>1</v>
      </c>
      <c r="G383">
        <v>15514512</v>
      </c>
      <c r="H383">
        <v>1</v>
      </c>
      <c r="I383" t="s">
        <v>401</v>
      </c>
      <c r="J383" t="s">
        <v>3</v>
      </c>
      <c r="K383" t="s">
        <v>402</v>
      </c>
      <c r="L383">
        <v>1191</v>
      </c>
      <c r="N383">
        <v>1013</v>
      </c>
      <c r="O383" t="s">
        <v>403</v>
      </c>
      <c r="P383" t="s">
        <v>403</v>
      </c>
      <c r="Q383">
        <v>1</v>
      </c>
      <c r="X383">
        <v>6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1</v>
      </c>
      <c r="AE383">
        <v>1</v>
      </c>
      <c r="AF383" t="s">
        <v>20</v>
      </c>
      <c r="AG383">
        <v>24</v>
      </c>
      <c r="AH383">
        <v>3</v>
      </c>
      <c r="AI383">
        <v>-1</v>
      </c>
      <c r="AJ383" t="s">
        <v>3</v>
      </c>
      <c r="AK383">
        <v>0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0</v>
      </c>
      <c r="AR383">
        <v>0</v>
      </c>
    </row>
    <row r="384" spans="1:44" x14ac:dyDescent="0.2">
      <c r="A384">
        <f>ROW(Source!A666)</f>
        <v>666</v>
      </c>
      <c r="B384">
        <v>1471745185</v>
      </c>
      <c r="C384">
        <v>1471664593</v>
      </c>
      <c r="D384">
        <v>1441834258</v>
      </c>
      <c r="E384">
        <v>1</v>
      </c>
      <c r="F384">
        <v>1</v>
      </c>
      <c r="G384">
        <v>15514512</v>
      </c>
      <c r="H384">
        <v>2</v>
      </c>
      <c r="I384" t="s">
        <v>404</v>
      </c>
      <c r="J384" t="s">
        <v>405</v>
      </c>
      <c r="K384" t="s">
        <v>406</v>
      </c>
      <c r="L384">
        <v>1368</v>
      </c>
      <c r="N384">
        <v>1011</v>
      </c>
      <c r="O384" t="s">
        <v>407</v>
      </c>
      <c r="P384" t="s">
        <v>407</v>
      </c>
      <c r="Q384">
        <v>1</v>
      </c>
      <c r="X384">
        <v>0.7</v>
      </c>
      <c r="Y384">
        <v>0</v>
      </c>
      <c r="Z384">
        <v>1303.01</v>
      </c>
      <c r="AA384">
        <v>826.2</v>
      </c>
      <c r="AB384">
        <v>0</v>
      </c>
      <c r="AC384">
        <v>0</v>
      </c>
      <c r="AD384">
        <v>1</v>
      </c>
      <c r="AE384">
        <v>0</v>
      </c>
      <c r="AF384" t="s">
        <v>20</v>
      </c>
      <c r="AG384">
        <v>2.8</v>
      </c>
      <c r="AH384">
        <v>3</v>
      </c>
      <c r="AI384">
        <v>-1</v>
      </c>
      <c r="AJ384" t="s">
        <v>3</v>
      </c>
      <c r="AK384">
        <v>0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0</v>
      </c>
      <c r="AR384">
        <v>0</v>
      </c>
    </row>
    <row r="385" spans="1:44" x14ac:dyDescent="0.2">
      <c r="A385">
        <f>ROW(Source!A666)</f>
        <v>666</v>
      </c>
      <c r="B385">
        <v>1471745186</v>
      </c>
      <c r="C385">
        <v>1471664593</v>
      </c>
      <c r="D385">
        <v>1441836235</v>
      </c>
      <c r="E385">
        <v>1</v>
      </c>
      <c r="F385">
        <v>1</v>
      </c>
      <c r="G385">
        <v>15514512</v>
      </c>
      <c r="H385">
        <v>3</v>
      </c>
      <c r="I385" t="s">
        <v>408</v>
      </c>
      <c r="J385" t="s">
        <v>409</v>
      </c>
      <c r="K385" t="s">
        <v>410</v>
      </c>
      <c r="L385">
        <v>1346</v>
      </c>
      <c r="N385">
        <v>1009</v>
      </c>
      <c r="O385" t="s">
        <v>411</v>
      </c>
      <c r="P385" t="s">
        <v>411</v>
      </c>
      <c r="Q385">
        <v>1</v>
      </c>
      <c r="X385">
        <v>0.03</v>
      </c>
      <c r="Y385">
        <v>31.49</v>
      </c>
      <c r="Z385">
        <v>0</v>
      </c>
      <c r="AA385">
        <v>0</v>
      </c>
      <c r="AB385">
        <v>0</v>
      </c>
      <c r="AC385">
        <v>0</v>
      </c>
      <c r="AD385">
        <v>1</v>
      </c>
      <c r="AE385">
        <v>0</v>
      </c>
      <c r="AF385" t="s">
        <v>20</v>
      </c>
      <c r="AG385">
        <v>0.12</v>
      </c>
      <c r="AH385">
        <v>3</v>
      </c>
      <c r="AI385">
        <v>-1</v>
      </c>
      <c r="AJ385" t="s">
        <v>3</v>
      </c>
      <c r="AK385">
        <v>0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0</v>
      </c>
      <c r="AR385">
        <v>0</v>
      </c>
    </row>
    <row r="386" spans="1:44" x14ac:dyDescent="0.2">
      <c r="A386">
        <f>ROW(Source!A667)</f>
        <v>667</v>
      </c>
      <c r="B386">
        <v>1471745187</v>
      </c>
      <c r="C386">
        <v>1471664603</v>
      </c>
      <c r="D386">
        <v>1441819193</v>
      </c>
      <c r="E386">
        <v>15514512</v>
      </c>
      <c r="F386">
        <v>1</v>
      </c>
      <c r="G386">
        <v>15514512</v>
      </c>
      <c r="H386">
        <v>1</v>
      </c>
      <c r="I386" t="s">
        <v>401</v>
      </c>
      <c r="J386" t="s">
        <v>3</v>
      </c>
      <c r="K386" t="s">
        <v>402</v>
      </c>
      <c r="L386">
        <v>1191</v>
      </c>
      <c r="N386">
        <v>1013</v>
      </c>
      <c r="O386" t="s">
        <v>403</v>
      </c>
      <c r="P386" t="s">
        <v>403</v>
      </c>
      <c r="Q386">
        <v>1</v>
      </c>
      <c r="X386">
        <v>0.4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1</v>
      </c>
      <c r="AE386">
        <v>1</v>
      </c>
      <c r="AF386" t="s">
        <v>3</v>
      </c>
      <c r="AG386">
        <v>0.4</v>
      </c>
      <c r="AH386">
        <v>3</v>
      </c>
      <c r="AI386">
        <v>-1</v>
      </c>
      <c r="AJ386" t="s">
        <v>3</v>
      </c>
      <c r="AK386">
        <v>0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0</v>
      </c>
      <c r="AR386">
        <v>0</v>
      </c>
    </row>
    <row r="387" spans="1:44" x14ac:dyDescent="0.2">
      <c r="A387">
        <f>ROW(Source!A667)</f>
        <v>667</v>
      </c>
      <c r="B387">
        <v>1471745188</v>
      </c>
      <c r="C387">
        <v>1471664603</v>
      </c>
      <c r="D387">
        <v>1441836235</v>
      </c>
      <c r="E387">
        <v>1</v>
      </c>
      <c r="F387">
        <v>1</v>
      </c>
      <c r="G387">
        <v>15514512</v>
      </c>
      <c r="H387">
        <v>3</v>
      </c>
      <c r="I387" t="s">
        <v>408</v>
      </c>
      <c r="J387" t="s">
        <v>409</v>
      </c>
      <c r="K387" t="s">
        <v>410</v>
      </c>
      <c r="L387">
        <v>1346</v>
      </c>
      <c r="N387">
        <v>1009</v>
      </c>
      <c r="O387" t="s">
        <v>411</v>
      </c>
      <c r="P387" t="s">
        <v>411</v>
      </c>
      <c r="Q387">
        <v>1</v>
      </c>
      <c r="X387">
        <v>0.2</v>
      </c>
      <c r="Y387">
        <v>31.49</v>
      </c>
      <c r="Z387">
        <v>0</v>
      </c>
      <c r="AA387">
        <v>0</v>
      </c>
      <c r="AB387">
        <v>0</v>
      </c>
      <c r="AC387">
        <v>0</v>
      </c>
      <c r="AD387">
        <v>1</v>
      </c>
      <c r="AE387">
        <v>0</v>
      </c>
      <c r="AF387" t="s">
        <v>3</v>
      </c>
      <c r="AG387">
        <v>0.2</v>
      </c>
      <c r="AH387">
        <v>3</v>
      </c>
      <c r="AI387">
        <v>-1</v>
      </c>
      <c r="AJ387" t="s">
        <v>3</v>
      </c>
      <c r="AK387">
        <v>0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0</v>
      </c>
      <c r="AR387">
        <v>0</v>
      </c>
    </row>
    <row r="388" spans="1:44" x14ac:dyDescent="0.2">
      <c r="A388">
        <f>ROW(Source!A668)</f>
        <v>668</v>
      </c>
      <c r="B388">
        <v>1471745189</v>
      </c>
      <c r="C388">
        <v>1471664610</v>
      </c>
      <c r="D388">
        <v>1441819193</v>
      </c>
      <c r="E388">
        <v>15514512</v>
      </c>
      <c r="F388">
        <v>1</v>
      </c>
      <c r="G388">
        <v>15514512</v>
      </c>
      <c r="H388">
        <v>1</v>
      </c>
      <c r="I388" t="s">
        <v>401</v>
      </c>
      <c r="J388" t="s">
        <v>3</v>
      </c>
      <c r="K388" t="s">
        <v>402</v>
      </c>
      <c r="L388">
        <v>1191</v>
      </c>
      <c r="N388">
        <v>1013</v>
      </c>
      <c r="O388" t="s">
        <v>403</v>
      </c>
      <c r="P388" t="s">
        <v>403</v>
      </c>
      <c r="Q388">
        <v>1</v>
      </c>
      <c r="X388">
        <v>0.18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1</v>
      </c>
      <c r="AE388">
        <v>1</v>
      </c>
      <c r="AF388" t="s">
        <v>3</v>
      </c>
      <c r="AG388">
        <v>0.18</v>
      </c>
      <c r="AH388">
        <v>3</v>
      </c>
      <c r="AI388">
        <v>-1</v>
      </c>
      <c r="AJ388" t="s">
        <v>3</v>
      </c>
      <c r="AK388">
        <v>0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0</v>
      </c>
      <c r="AR388">
        <v>0</v>
      </c>
    </row>
    <row r="389" spans="1:44" x14ac:dyDescent="0.2">
      <c r="A389">
        <f>ROW(Source!A668)</f>
        <v>668</v>
      </c>
      <c r="B389">
        <v>1471745190</v>
      </c>
      <c r="C389">
        <v>1471664610</v>
      </c>
      <c r="D389">
        <v>1441836235</v>
      </c>
      <c r="E389">
        <v>1</v>
      </c>
      <c r="F389">
        <v>1</v>
      </c>
      <c r="G389">
        <v>15514512</v>
      </c>
      <c r="H389">
        <v>3</v>
      </c>
      <c r="I389" t="s">
        <v>408</v>
      </c>
      <c r="J389" t="s">
        <v>409</v>
      </c>
      <c r="K389" t="s">
        <v>410</v>
      </c>
      <c r="L389">
        <v>1346</v>
      </c>
      <c r="N389">
        <v>1009</v>
      </c>
      <c r="O389" t="s">
        <v>411</v>
      </c>
      <c r="P389" t="s">
        <v>411</v>
      </c>
      <c r="Q389">
        <v>1</v>
      </c>
      <c r="X389">
        <v>0.2</v>
      </c>
      <c r="Y389">
        <v>31.49</v>
      </c>
      <c r="Z389">
        <v>0</v>
      </c>
      <c r="AA389">
        <v>0</v>
      </c>
      <c r="AB389">
        <v>0</v>
      </c>
      <c r="AC389">
        <v>0</v>
      </c>
      <c r="AD389">
        <v>1</v>
      </c>
      <c r="AE389">
        <v>0</v>
      </c>
      <c r="AF389" t="s">
        <v>3</v>
      </c>
      <c r="AG389">
        <v>0.2</v>
      </c>
      <c r="AH389">
        <v>3</v>
      </c>
      <c r="AI389">
        <v>-1</v>
      </c>
      <c r="AJ389" t="s">
        <v>3</v>
      </c>
      <c r="AK389">
        <v>0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0</v>
      </c>
      <c r="AR389">
        <v>0</v>
      </c>
    </row>
    <row r="390" spans="1:44" x14ac:dyDescent="0.2">
      <c r="A390">
        <f>ROW(Source!A669)</f>
        <v>669</v>
      </c>
      <c r="B390">
        <v>1471745204</v>
      </c>
      <c r="C390">
        <v>1471664617</v>
      </c>
      <c r="D390">
        <v>1441819193</v>
      </c>
      <c r="E390">
        <v>15514512</v>
      </c>
      <c r="F390">
        <v>1</v>
      </c>
      <c r="G390">
        <v>15514512</v>
      </c>
      <c r="H390">
        <v>1</v>
      </c>
      <c r="I390" t="s">
        <v>401</v>
      </c>
      <c r="J390" t="s">
        <v>3</v>
      </c>
      <c r="K390" t="s">
        <v>402</v>
      </c>
      <c r="L390">
        <v>1191</v>
      </c>
      <c r="N390">
        <v>1013</v>
      </c>
      <c r="O390" t="s">
        <v>403</v>
      </c>
      <c r="P390" t="s">
        <v>403</v>
      </c>
      <c r="Q390">
        <v>1</v>
      </c>
      <c r="X390">
        <v>0.24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1</v>
      </c>
      <c r="AE390">
        <v>1</v>
      </c>
      <c r="AF390" t="s">
        <v>163</v>
      </c>
      <c r="AG390">
        <v>0.72</v>
      </c>
      <c r="AH390">
        <v>3</v>
      </c>
      <c r="AI390">
        <v>-1</v>
      </c>
      <c r="AJ390" t="s">
        <v>3</v>
      </c>
      <c r="AK390">
        <v>0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0</v>
      </c>
      <c r="AR390">
        <v>0</v>
      </c>
    </row>
    <row r="391" spans="1:44" x14ac:dyDescent="0.2">
      <c r="A391">
        <f>ROW(Source!A670)</f>
        <v>670</v>
      </c>
      <c r="B391">
        <v>1471745205</v>
      </c>
      <c r="C391">
        <v>1471664621</v>
      </c>
      <c r="D391">
        <v>1441819193</v>
      </c>
      <c r="E391">
        <v>15514512</v>
      </c>
      <c r="F391">
        <v>1</v>
      </c>
      <c r="G391">
        <v>15514512</v>
      </c>
      <c r="H391">
        <v>1</v>
      </c>
      <c r="I391" t="s">
        <v>401</v>
      </c>
      <c r="J391" t="s">
        <v>3</v>
      </c>
      <c r="K391" t="s">
        <v>402</v>
      </c>
      <c r="L391">
        <v>1191</v>
      </c>
      <c r="N391">
        <v>1013</v>
      </c>
      <c r="O391" t="s">
        <v>403</v>
      </c>
      <c r="P391" t="s">
        <v>403</v>
      </c>
      <c r="Q391">
        <v>1</v>
      </c>
      <c r="X391">
        <v>0.26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1</v>
      </c>
      <c r="AE391">
        <v>1</v>
      </c>
      <c r="AF391" t="s">
        <v>20</v>
      </c>
      <c r="AG391">
        <v>1.04</v>
      </c>
      <c r="AH391">
        <v>3</v>
      </c>
      <c r="AI391">
        <v>-1</v>
      </c>
      <c r="AJ391" t="s">
        <v>3</v>
      </c>
      <c r="AK391">
        <v>0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0</v>
      </c>
      <c r="AR391">
        <v>0</v>
      </c>
    </row>
    <row r="392" spans="1:44" x14ac:dyDescent="0.2">
      <c r="A392">
        <f>ROW(Source!A670)</f>
        <v>670</v>
      </c>
      <c r="B392">
        <v>1471745206</v>
      </c>
      <c r="C392">
        <v>1471664621</v>
      </c>
      <c r="D392">
        <v>1441836235</v>
      </c>
      <c r="E392">
        <v>1</v>
      </c>
      <c r="F392">
        <v>1</v>
      </c>
      <c r="G392">
        <v>15514512</v>
      </c>
      <c r="H392">
        <v>3</v>
      </c>
      <c r="I392" t="s">
        <v>408</v>
      </c>
      <c r="J392" t="s">
        <v>409</v>
      </c>
      <c r="K392" t="s">
        <v>410</v>
      </c>
      <c r="L392">
        <v>1346</v>
      </c>
      <c r="N392">
        <v>1009</v>
      </c>
      <c r="O392" t="s">
        <v>411</v>
      </c>
      <c r="P392" t="s">
        <v>411</v>
      </c>
      <c r="Q392">
        <v>1</v>
      </c>
      <c r="X392">
        <v>0.04</v>
      </c>
      <c r="Y392">
        <v>31.49</v>
      </c>
      <c r="Z392">
        <v>0</v>
      </c>
      <c r="AA392">
        <v>0</v>
      </c>
      <c r="AB392">
        <v>0</v>
      </c>
      <c r="AC392">
        <v>0</v>
      </c>
      <c r="AD392">
        <v>1</v>
      </c>
      <c r="AE392">
        <v>0</v>
      </c>
      <c r="AF392" t="s">
        <v>20</v>
      </c>
      <c r="AG392">
        <v>0.16</v>
      </c>
      <c r="AH392">
        <v>3</v>
      </c>
      <c r="AI392">
        <v>-1</v>
      </c>
      <c r="AJ392" t="s">
        <v>3</v>
      </c>
      <c r="AK392">
        <v>0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0</v>
      </c>
      <c r="AR392">
        <v>0</v>
      </c>
    </row>
    <row r="393" spans="1:44" x14ac:dyDescent="0.2">
      <c r="A393">
        <f>ROW(Source!A671)</f>
        <v>671</v>
      </c>
      <c r="B393">
        <v>1471745209</v>
      </c>
      <c r="C393">
        <v>1471664628</v>
      </c>
      <c r="D393">
        <v>1441819193</v>
      </c>
      <c r="E393">
        <v>15514512</v>
      </c>
      <c r="F393">
        <v>1</v>
      </c>
      <c r="G393">
        <v>15514512</v>
      </c>
      <c r="H393">
        <v>1</v>
      </c>
      <c r="I393" t="s">
        <v>401</v>
      </c>
      <c r="J393" t="s">
        <v>3</v>
      </c>
      <c r="K393" t="s">
        <v>402</v>
      </c>
      <c r="L393">
        <v>1191</v>
      </c>
      <c r="N393">
        <v>1013</v>
      </c>
      <c r="O393" t="s">
        <v>403</v>
      </c>
      <c r="P393" t="s">
        <v>403</v>
      </c>
      <c r="Q393">
        <v>1</v>
      </c>
      <c r="X393">
        <v>0.95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1</v>
      </c>
      <c r="AE393">
        <v>1</v>
      </c>
      <c r="AF393" t="s">
        <v>3</v>
      </c>
      <c r="AG393">
        <v>0.95</v>
      </c>
      <c r="AH393">
        <v>3</v>
      </c>
      <c r="AI393">
        <v>-1</v>
      </c>
      <c r="AJ393" t="s">
        <v>3</v>
      </c>
      <c r="AK393">
        <v>0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0</v>
      </c>
      <c r="AR393">
        <v>0</v>
      </c>
    </row>
    <row r="394" spans="1:44" x14ac:dyDescent="0.2">
      <c r="A394">
        <f>ROW(Source!A671)</f>
        <v>671</v>
      </c>
      <c r="B394">
        <v>1471745210</v>
      </c>
      <c r="C394">
        <v>1471664628</v>
      </c>
      <c r="D394">
        <v>1441836187</v>
      </c>
      <c r="E394">
        <v>1</v>
      </c>
      <c r="F394">
        <v>1</v>
      </c>
      <c r="G394">
        <v>15514512</v>
      </c>
      <c r="H394">
        <v>3</v>
      </c>
      <c r="I394" t="s">
        <v>469</v>
      </c>
      <c r="J394" t="s">
        <v>470</v>
      </c>
      <c r="K394" t="s">
        <v>471</v>
      </c>
      <c r="L394">
        <v>1346</v>
      </c>
      <c r="N394">
        <v>1009</v>
      </c>
      <c r="O394" t="s">
        <v>411</v>
      </c>
      <c r="P394" t="s">
        <v>411</v>
      </c>
      <c r="Q394">
        <v>1</v>
      </c>
      <c r="X394">
        <v>2.9299999999999999E-3</v>
      </c>
      <c r="Y394">
        <v>424.66</v>
      </c>
      <c r="Z394">
        <v>0</v>
      </c>
      <c r="AA394">
        <v>0</v>
      </c>
      <c r="AB394">
        <v>0</v>
      </c>
      <c r="AC394">
        <v>0</v>
      </c>
      <c r="AD394">
        <v>1</v>
      </c>
      <c r="AE394">
        <v>0</v>
      </c>
      <c r="AF394" t="s">
        <v>3</v>
      </c>
      <c r="AG394">
        <v>2.9299999999999999E-3</v>
      </c>
      <c r="AH394">
        <v>3</v>
      </c>
      <c r="AI394">
        <v>-1</v>
      </c>
      <c r="AJ394" t="s">
        <v>3</v>
      </c>
      <c r="AK394">
        <v>0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0</v>
      </c>
      <c r="AR394">
        <v>0</v>
      </c>
    </row>
    <row r="395" spans="1:44" x14ac:dyDescent="0.2">
      <c r="A395">
        <f>ROW(Source!A671)</f>
        <v>671</v>
      </c>
      <c r="B395">
        <v>1471745211</v>
      </c>
      <c r="C395">
        <v>1471664628</v>
      </c>
      <c r="D395">
        <v>1441836235</v>
      </c>
      <c r="E395">
        <v>1</v>
      </c>
      <c r="F395">
        <v>1</v>
      </c>
      <c r="G395">
        <v>15514512</v>
      </c>
      <c r="H395">
        <v>3</v>
      </c>
      <c r="I395" t="s">
        <v>408</v>
      </c>
      <c r="J395" t="s">
        <v>409</v>
      </c>
      <c r="K395" t="s">
        <v>410</v>
      </c>
      <c r="L395">
        <v>1346</v>
      </c>
      <c r="N395">
        <v>1009</v>
      </c>
      <c r="O395" t="s">
        <v>411</v>
      </c>
      <c r="P395" t="s">
        <v>411</v>
      </c>
      <c r="Q395">
        <v>1</v>
      </c>
      <c r="X395">
        <v>3.7999999999999999E-2</v>
      </c>
      <c r="Y395">
        <v>31.49</v>
      </c>
      <c r="Z395">
        <v>0</v>
      </c>
      <c r="AA395">
        <v>0</v>
      </c>
      <c r="AB395">
        <v>0</v>
      </c>
      <c r="AC395">
        <v>0</v>
      </c>
      <c r="AD395">
        <v>1</v>
      </c>
      <c r="AE395">
        <v>0</v>
      </c>
      <c r="AF395" t="s">
        <v>3</v>
      </c>
      <c r="AG395">
        <v>3.7999999999999999E-2</v>
      </c>
      <c r="AH395">
        <v>3</v>
      </c>
      <c r="AI395">
        <v>-1</v>
      </c>
      <c r="AJ395" t="s">
        <v>3</v>
      </c>
      <c r="AK395">
        <v>0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0</v>
      </c>
      <c r="AR395">
        <v>0</v>
      </c>
    </row>
    <row r="396" spans="1:44" x14ac:dyDescent="0.2">
      <c r="A396">
        <f>ROW(Source!A672)</f>
        <v>672</v>
      </c>
      <c r="B396">
        <v>1471745288</v>
      </c>
      <c r="C396">
        <v>1471664638</v>
      </c>
      <c r="D396">
        <v>1441819193</v>
      </c>
      <c r="E396">
        <v>15514512</v>
      </c>
      <c r="F396">
        <v>1</v>
      </c>
      <c r="G396">
        <v>15514512</v>
      </c>
      <c r="H396">
        <v>1</v>
      </c>
      <c r="I396" t="s">
        <v>401</v>
      </c>
      <c r="J396" t="s">
        <v>3</v>
      </c>
      <c r="K396" t="s">
        <v>402</v>
      </c>
      <c r="L396">
        <v>1191</v>
      </c>
      <c r="N396">
        <v>1013</v>
      </c>
      <c r="O396" t="s">
        <v>403</v>
      </c>
      <c r="P396" t="s">
        <v>403</v>
      </c>
      <c r="Q396">
        <v>1</v>
      </c>
      <c r="X396">
        <v>0.1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1</v>
      </c>
      <c r="AE396">
        <v>1</v>
      </c>
      <c r="AF396" t="s">
        <v>42</v>
      </c>
      <c r="AG396">
        <v>0.2</v>
      </c>
      <c r="AH396">
        <v>3</v>
      </c>
      <c r="AI396">
        <v>-1</v>
      </c>
      <c r="AJ396" t="s">
        <v>3</v>
      </c>
      <c r="AK396">
        <v>0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0</v>
      </c>
      <c r="AR396">
        <v>0</v>
      </c>
    </row>
    <row r="397" spans="1:44" x14ac:dyDescent="0.2">
      <c r="A397">
        <f>ROW(Source!A672)</f>
        <v>672</v>
      </c>
      <c r="B397">
        <v>1471745290</v>
      </c>
      <c r="C397">
        <v>1471664638</v>
      </c>
      <c r="D397">
        <v>1441836235</v>
      </c>
      <c r="E397">
        <v>1</v>
      </c>
      <c r="F397">
        <v>1</v>
      </c>
      <c r="G397">
        <v>15514512</v>
      </c>
      <c r="H397">
        <v>3</v>
      </c>
      <c r="I397" t="s">
        <v>408</v>
      </c>
      <c r="J397" t="s">
        <v>409</v>
      </c>
      <c r="K397" t="s">
        <v>410</v>
      </c>
      <c r="L397">
        <v>1346</v>
      </c>
      <c r="N397">
        <v>1009</v>
      </c>
      <c r="O397" t="s">
        <v>411</v>
      </c>
      <c r="P397" t="s">
        <v>411</v>
      </c>
      <c r="Q397">
        <v>1</v>
      </c>
      <c r="X397">
        <v>1E-3</v>
      </c>
      <c r="Y397">
        <v>31.49</v>
      </c>
      <c r="Z397">
        <v>0</v>
      </c>
      <c r="AA397">
        <v>0</v>
      </c>
      <c r="AB397">
        <v>0</v>
      </c>
      <c r="AC397">
        <v>0</v>
      </c>
      <c r="AD397">
        <v>1</v>
      </c>
      <c r="AE397">
        <v>0</v>
      </c>
      <c r="AF397" t="s">
        <v>42</v>
      </c>
      <c r="AG397">
        <v>2E-3</v>
      </c>
      <c r="AH397">
        <v>3</v>
      </c>
      <c r="AI397">
        <v>-1</v>
      </c>
      <c r="AJ397" t="s">
        <v>3</v>
      </c>
      <c r="AK397">
        <v>0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0</v>
      </c>
      <c r="AR397">
        <v>0</v>
      </c>
    </row>
    <row r="398" spans="1:44" x14ac:dyDescent="0.2">
      <c r="A398">
        <f>ROW(Source!A672)</f>
        <v>672</v>
      </c>
      <c r="B398">
        <v>1471745289</v>
      </c>
      <c r="C398">
        <v>1471664638</v>
      </c>
      <c r="D398">
        <v>1441822228</v>
      </c>
      <c r="E398">
        <v>15514512</v>
      </c>
      <c r="F398">
        <v>1</v>
      </c>
      <c r="G398">
        <v>15514512</v>
      </c>
      <c r="H398">
        <v>3</v>
      </c>
      <c r="I398" t="s">
        <v>451</v>
      </c>
      <c r="J398" t="s">
        <v>3</v>
      </c>
      <c r="K398" t="s">
        <v>452</v>
      </c>
      <c r="L398">
        <v>1346</v>
      </c>
      <c r="N398">
        <v>1009</v>
      </c>
      <c r="O398" t="s">
        <v>411</v>
      </c>
      <c r="P398" t="s">
        <v>411</v>
      </c>
      <c r="Q398">
        <v>1</v>
      </c>
      <c r="X398">
        <v>2E-3</v>
      </c>
      <c r="Y398">
        <v>73.951729999999998</v>
      </c>
      <c r="Z398">
        <v>0</v>
      </c>
      <c r="AA398">
        <v>0</v>
      </c>
      <c r="AB398">
        <v>0</v>
      </c>
      <c r="AC398">
        <v>0</v>
      </c>
      <c r="AD398">
        <v>1</v>
      </c>
      <c r="AE398">
        <v>0</v>
      </c>
      <c r="AF398" t="s">
        <v>42</v>
      </c>
      <c r="AG398">
        <v>4.0000000000000001E-3</v>
      </c>
      <c r="AH398">
        <v>3</v>
      </c>
      <c r="AI398">
        <v>-1</v>
      </c>
      <c r="AJ398" t="s">
        <v>3</v>
      </c>
      <c r="AK398">
        <v>0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0</v>
      </c>
      <c r="AR398">
        <v>0</v>
      </c>
    </row>
    <row r="399" spans="1:44" x14ac:dyDescent="0.2">
      <c r="A399">
        <f>ROW(Source!A673)</f>
        <v>673</v>
      </c>
      <c r="B399">
        <v>1471745385</v>
      </c>
      <c r="C399">
        <v>1471664648</v>
      </c>
      <c r="D399">
        <v>1441819193</v>
      </c>
      <c r="E399">
        <v>15514512</v>
      </c>
      <c r="F399">
        <v>1</v>
      </c>
      <c r="G399">
        <v>15514512</v>
      </c>
      <c r="H399">
        <v>1</v>
      </c>
      <c r="I399" t="s">
        <v>401</v>
      </c>
      <c r="J399" t="s">
        <v>3</v>
      </c>
      <c r="K399" t="s">
        <v>402</v>
      </c>
      <c r="L399">
        <v>1191</v>
      </c>
      <c r="N399">
        <v>1013</v>
      </c>
      <c r="O399" t="s">
        <v>403</v>
      </c>
      <c r="P399" t="s">
        <v>403</v>
      </c>
      <c r="Q399">
        <v>1</v>
      </c>
      <c r="X399">
        <v>3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1</v>
      </c>
      <c r="AE399">
        <v>1</v>
      </c>
      <c r="AF399" t="s">
        <v>42</v>
      </c>
      <c r="AG399">
        <v>6</v>
      </c>
      <c r="AH399">
        <v>3</v>
      </c>
      <c r="AI399">
        <v>-1</v>
      </c>
      <c r="AJ399" t="s">
        <v>3</v>
      </c>
      <c r="AK399">
        <v>0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0</v>
      </c>
      <c r="AR399">
        <v>0</v>
      </c>
    </row>
    <row r="400" spans="1:44" x14ac:dyDescent="0.2">
      <c r="A400">
        <f>ROW(Source!A673)</f>
        <v>673</v>
      </c>
      <c r="B400">
        <v>1471745388</v>
      </c>
      <c r="C400">
        <v>1471664648</v>
      </c>
      <c r="D400">
        <v>1441836237</v>
      </c>
      <c r="E400">
        <v>1</v>
      </c>
      <c r="F400">
        <v>1</v>
      </c>
      <c r="G400">
        <v>15514512</v>
      </c>
      <c r="H400">
        <v>3</v>
      </c>
      <c r="I400" t="s">
        <v>448</v>
      </c>
      <c r="J400" t="s">
        <v>449</v>
      </c>
      <c r="K400" t="s">
        <v>450</v>
      </c>
      <c r="L400">
        <v>1346</v>
      </c>
      <c r="N400">
        <v>1009</v>
      </c>
      <c r="O400" t="s">
        <v>411</v>
      </c>
      <c r="P400" t="s">
        <v>411</v>
      </c>
      <c r="Q400">
        <v>1</v>
      </c>
      <c r="X400">
        <v>0.06</v>
      </c>
      <c r="Y400">
        <v>375.16</v>
      </c>
      <c r="Z400">
        <v>0</v>
      </c>
      <c r="AA400">
        <v>0</v>
      </c>
      <c r="AB400">
        <v>0</v>
      </c>
      <c r="AC400">
        <v>0</v>
      </c>
      <c r="AD400">
        <v>1</v>
      </c>
      <c r="AE400">
        <v>0</v>
      </c>
      <c r="AF400" t="s">
        <v>42</v>
      </c>
      <c r="AG400">
        <v>0.12</v>
      </c>
      <c r="AH400">
        <v>3</v>
      </c>
      <c r="AI400">
        <v>-1</v>
      </c>
      <c r="AJ400" t="s">
        <v>3</v>
      </c>
      <c r="AK400">
        <v>0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0</v>
      </c>
      <c r="AR400">
        <v>0</v>
      </c>
    </row>
    <row r="401" spans="1:44" x14ac:dyDescent="0.2">
      <c r="A401">
        <f>ROW(Source!A673)</f>
        <v>673</v>
      </c>
      <c r="B401">
        <v>1471745389</v>
      </c>
      <c r="C401">
        <v>1471664648</v>
      </c>
      <c r="D401">
        <v>1441836235</v>
      </c>
      <c r="E401">
        <v>1</v>
      </c>
      <c r="F401">
        <v>1</v>
      </c>
      <c r="G401">
        <v>15514512</v>
      </c>
      <c r="H401">
        <v>3</v>
      </c>
      <c r="I401" t="s">
        <v>408</v>
      </c>
      <c r="J401" t="s">
        <v>409</v>
      </c>
      <c r="K401" t="s">
        <v>410</v>
      </c>
      <c r="L401">
        <v>1346</v>
      </c>
      <c r="N401">
        <v>1009</v>
      </c>
      <c r="O401" t="s">
        <v>411</v>
      </c>
      <c r="P401" t="s">
        <v>411</v>
      </c>
      <c r="Q401">
        <v>1</v>
      </c>
      <c r="X401">
        <v>0.02</v>
      </c>
      <c r="Y401">
        <v>31.49</v>
      </c>
      <c r="Z401">
        <v>0</v>
      </c>
      <c r="AA401">
        <v>0</v>
      </c>
      <c r="AB401">
        <v>0</v>
      </c>
      <c r="AC401">
        <v>0</v>
      </c>
      <c r="AD401">
        <v>1</v>
      </c>
      <c r="AE401">
        <v>0</v>
      </c>
      <c r="AF401" t="s">
        <v>42</v>
      </c>
      <c r="AG401">
        <v>0.04</v>
      </c>
      <c r="AH401">
        <v>3</v>
      </c>
      <c r="AI401">
        <v>-1</v>
      </c>
      <c r="AJ401" t="s">
        <v>3</v>
      </c>
      <c r="AK401">
        <v>0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0</v>
      </c>
      <c r="AR401">
        <v>0</v>
      </c>
    </row>
    <row r="402" spans="1:44" x14ac:dyDescent="0.2">
      <c r="A402">
        <f>ROW(Source!A673)</f>
        <v>673</v>
      </c>
      <c r="B402">
        <v>1471745386</v>
      </c>
      <c r="C402">
        <v>1471664648</v>
      </c>
      <c r="D402">
        <v>1441822228</v>
      </c>
      <c r="E402">
        <v>15514512</v>
      </c>
      <c r="F402">
        <v>1</v>
      </c>
      <c r="G402">
        <v>15514512</v>
      </c>
      <c r="H402">
        <v>3</v>
      </c>
      <c r="I402" t="s">
        <v>451</v>
      </c>
      <c r="J402" t="s">
        <v>3</v>
      </c>
      <c r="K402" t="s">
        <v>452</v>
      </c>
      <c r="L402">
        <v>1346</v>
      </c>
      <c r="N402">
        <v>1009</v>
      </c>
      <c r="O402" t="s">
        <v>411</v>
      </c>
      <c r="P402" t="s">
        <v>411</v>
      </c>
      <c r="Q402">
        <v>1</v>
      </c>
      <c r="X402">
        <v>0.02</v>
      </c>
      <c r="Y402">
        <v>73.951729999999998</v>
      </c>
      <c r="Z402">
        <v>0</v>
      </c>
      <c r="AA402">
        <v>0</v>
      </c>
      <c r="AB402">
        <v>0</v>
      </c>
      <c r="AC402">
        <v>0</v>
      </c>
      <c r="AD402">
        <v>1</v>
      </c>
      <c r="AE402">
        <v>0</v>
      </c>
      <c r="AF402" t="s">
        <v>42</v>
      </c>
      <c r="AG402">
        <v>0.04</v>
      </c>
      <c r="AH402">
        <v>3</v>
      </c>
      <c r="AI402">
        <v>-1</v>
      </c>
      <c r="AJ402" t="s">
        <v>3</v>
      </c>
      <c r="AK402">
        <v>0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0</v>
      </c>
      <c r="AR402">
        <v>0</v>
      </c>
    </row>
    <row r="403" spans="1:44" x14ac:dyDescent="0.2">
      <c r="A403">
        <f>ROW(Source!A673)</f>
        <v>673</v>
      </c>
      <c r="B403">
        <v>1471745390</v>
      </c>
      <c r="C403">
        <v>1471664648</v>
      </c>
      <c r="D403">
        <v>1441834920</v>
      </c>
      <c r="E403">
        <v>1</v>
      </c>
      <c r="F403">
        <v>1</v>
      </c>
      <c r="G403">
        <v>15514512</v>
      </c>
      <c r="H403">
        <v>3</v>
      </c>
      <c r="I403" t="s">
        <v>453</v>
      </c>
      <c r="J403" t="s">
        <v>454</v>
      </c>
      <c r="K403" t="s">
        <v>455</v>
      </c>
      <c r="L403">
        <v>1346</v>
      </c>
      <c r="N403">
        <v>1009</v>
      </c>
      <c r="O403" t="s">
        <v>411</v>
      </c>
      <c r="P403" t="s">
        <v>411</v>
      </c>
      <c r="Q403">
        <v>1</v>
      </c>
      <c r="X403">
        <v>0.01</v>
      </c>
      <c r="Y403">
        <v>106.87</v>
      </c>
      <c r="Z403">
        <v>0</v>
      </c>
      <c r="AA403">
        <v>0</v>
      </c>
      <c r="AB403">
        <v>0</v>
      </c>
      <c r="AC403">
        <v>0</v>
      </c>
      <c r="AD403">
        <v>1</v>
      </c>
      <c r="AE403">
        <v>0</v>
      </c>
      <c r="AF403" t="s">
        <v>42</v>
      </c>
      <c r="AG403">
        <v>0.02</v>
      </c>
      <c r="AH403">
        <v>3</v>
      </c>
      <c r="AI403">
        <v>-1</v>
      </c>
      <c r="AJ403" t="s">
        <v>3</v>
      </c>
      <c r="AK403">
        <v>0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0</v>
      </c>
      <c r="AR403">
        <v>0</v>
      </c>
    </row>
    <row r="404" spans="1:44" x14ac:dyDescent="0.2">
      <c r="A404">
        <f>ROW(Source!A675)</f>
        <v>675</v>
      </c>
      <c r="B404">
        <v>1471745479</v>
      </c>
      <c r="C404">
        <v>1471664665</v>
      </c>
      <c r="D404">
        <v>1441819193</v>
      </c>
      <c r="E404">
        <v>15514512</v>
      </c>
      <c r="F404">
        <v>1</v>
      </c>
      <c r="G404">
        <v>15514512</v>
      </c>
      <c r="H404">
        <v>1</v>
      </c>
      <c r="I404" t="s">
        <v>401</v>
      </c>
      <c r="J404" t="s">
        <v>3</v>
      </c>
      <c r="K404" t="s">
        <v>402</v>
      </c>
      <c r="L404">
        <v>1191</v>
      </c>
      <c r="N404">
        <v>1013</v>
      </c>
      <c r="O404" t="s">
        <v>403</v>
      </c>
      <c r="P404" t="s">
        <v>403</v>
      </c>
      <c r="Q404">
        <v>1</v>
      </c>
      <c r="X404">
        <v>10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1</v>
      </c>
      <c r="AE404">
        <v>1</v>
      </c>
      <c r="AF404" t="s">
        <v>3</v>
      </c>
      <c r="AG404">
        <v>10</v>
      </c>
      <c r="AH404">
        <v>3</v>
      </c>
      <c r="AI404">
        <v>-1</v>
      </c>
      <c r="AJ404" t="s">
        <v>3</v>
      </c>
      <c r="AK404">
        <v>0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0</v>
      </c>
      <c r="AR404">
        <v>0</v>
      </c>
    </row>
    <row r="405" spans="1:44" x14ac:dyDescent="0.2">
      <c r="A405">
        <f>ROW(Source!A675)</f>
        <v>675</v>
      </c>
      <c r="B405">
        <v>1471745480</v>
      </c>
      <c r="C405">
        <v>1471664665</v>
      </c>
      <c r="D405">
        <v>1441836237</v>
      </c>
      <c r="E405">
        <v>1</v>
      </c>
      <c r="F405">
        <v>1</v>
      </c>
      <c r="G405">
        <v>15514512</v>
      </c>
      <c r="H405">
        <v>3</v>
      </c>
      <c r="I405" t="s">
        <v>448</v>
      </c>
      <c r="J405" t="s">
        <v>449</v>
      </c>
      <c r="K405" t="s">
        <v>450</v>
      </c>
      <c r="L405">
        <v>1346</v>
      </c>
      <c r="N405">
        <v>1009</v>
      </c>
      <c r="O405" t="s">
        <v>411</v>
      </c>
      <c r="P405" t="s">
        <v>411</v>
      </c>
      <c r="Q405">
        <v>1</v>
      </c>
      <c r="X405">
        <v>0.06</v>
      </c>
      <c r="Y405">
        <v>375.16</v>
      </c>
      <c r="Z405">
        <v>0</v>
      </c>
      <c r="AA405">
        <v>0</v>
      </c>
      <c r="AB405">
        <v>0</v>
      </c>
      <c r="AC405">
        <v>0</v>
      </c>
      <c r="AD405">
        <v>1</v>
      </c>
      <c r="AE405">
        <v>0</v>
      </c>
      <c r="AF405" t="s">
        <v>3</v>
      </c>
      <c r="AG405">
        <v>0.06</v>
      </c>
      <c r="AH405">
        <v>3</v>
      </c>
      <c r="AI405">
        <v>-1</v>
      </c>
      <c r="AJ405" t="s">
        <v>3</v>
      </c>
      <c r="AK405">
        <v>0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0</v>
      </c>
      <c r="AR405">
        <v>0</v>
      </c>
    </row>
    <row r="406" spans="1:44" x14ac:dyDescent="0.2">
      <c r="A406">
        <f>ROW(Source!A676)</f>
        <v>676</v>
      </c>
      <c r="B406">
        <v>1471745596</v>
      </c>
      <c r="C406">
        <v>1471664672</v>
      </c>
      <c r="D406">
        <v>1441819193</v>
      </c>
      <c r="E406">
        <v>15514512</v>
      </c>
      <c r="F406">
        <v>1</v>
      </c>
      <c r="G406">
        <v>15514512</v>
      </c>
      <c r="H406">
        <v>1</v>
      </c>
      <c r="I406" t="s">
        <v>401</v>
      </c>
      <c r="J406" t="s">
        <v>3</v>
      </c>
      <c r="K406" t="s">
        <v>402</v>
      </c>
      <c r="L406">
        <v>1191</v>
      </c>
      <c r="N406">
        <v>1013</v>
      </c>
      <c r="O406" t="s">
        <v>403</v>
      </c>
      <c r="P406" t="s">
        <v>403</v>
      </c>
      <c r="Q406">
        <v>1</v>
      </c>
      <c r="X406">
        <v>0.33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1</v>
      </c>
      <c r="AE406">
        <v>1</v>
      </c>
      <c r="AF406" t="s">
        <v>3</v>
      </c>
      <c r="AG406">
        <v>0.33</v>
      </c>
      <c r="AH406">
        <v>3</v>
      </c>
      <c r="AI406">
        <v>-1</v>
      </c>
      <c r="AJ406" t="s">
        <v>3</v>
      </c>
      <c r="AK406">
        <v>0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0</v>
      </c>
      <c r="AR406">
        <v>0</v>
      </c>
    </row>
    <row r="407" spans="1:44" x14ac:dyDescent="0.2">
      <c r="A407">
        <f>ROW(Source!A677)</f>
        <v>677</v>
      </c>
      <c r="B407">
        <v>1471745656</v>
      </c>
      <c r="C407">
        <v>1471664676</v>
      </c>
      <c r="D407">
        <v>1441819193</v>
      </c>
      <c r="E407">
        <v>15514512</v>
      </c>
      <c r="F407">
        <v>1</v>
      </c>
      <c r="G407">
        <v>15514512</v>
      </c>
      <c r="H407">
        <v>1</v>
      </c>
      <c r="I407" t="s">
        <v>401</v>
      </c>
      <c r="J407" t="s">
        <v>3</v>
      </c>
      <c r="K407" t="s">
        <v>402</v>
      </c>
      <c r="L407">
        <v>1191</v>
      </c>
      <c r="N407">
        <v>1013</v>
      </c>
      <c r="O407" t="s">
        <v>403</v>
      </c>
      <c r="P407" t="s">
        <v>403</v>
      </c>
      <c r="Q407">
        <v>1</v>
      </c>
      <c r="X407">
        <v>10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1</v>
      </c>
      <c r="AE407">
        <v>1</v>
      </c>
      <c r="AF407" t="s">
        <v>3</v>
      </c>
      <c r="AG407">
        <v>10</v>
      </c>
      <c r="AH407">
        <v>3</v>
      </c>
      <c r="AI407">
        <v>-1</v>
      </c>
      <c r="AJ407" t="s">
        <v>3</v>
      </c>
      <c r="AK407">
        <v>0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0</v>
      </c>
      <c r="AR407">
        <v>0</v>
      </c>
    </row>
    <row r="408" spans="1:44" x14ac:dyDescent="0.2">
      <c r="A408">
        <f>ROW(Source!A677)</f>
        <v>677</v>
      </c>
      <c r="B408">
        <v>1471745657</v>
      </c>
      <c r="C408">
        <v>1471664676</v>
      </c>
      <c r="D408">
        <v>1441836237</v>
      </c>
      <c r="E408">
        <v>1</v>
      </c>
      <c r="F408">
        <v>1</v>
      </c>
      <c r="G408">
        <v>15514512</v>
      </c>
      <c r="H408">
        <v>3</v>
      </c>
      <c r="I408" t="s">
        <v>448</v>
      </c>
      <c r="J408" t="s">
        <v>449</v>
      </c>
      <c r="K408" t="s">
        <v>450</v>
      </c>
      <c r="L408">
        <v>1346</v>
      </c>
      <c r="N408">
        <v>1009</v>
      </c>
      <c r="O408" t="s">
        <v>411</v>
      </c>
      <c r="P408" t="s">
        <v>411</v>
      </c>
      <c r="Q408">
        <v>1</v>
      </c>
      <c r="X408">
        <v>0.06</v>
      </c>
      <c r="Y408">
        <v>375.16</v>
      </c>
      <c r="Z408">
        <v>0</v>
      </c>
      <c r="AA408">
        <v>0</v>
      </c>
      <c r="AB408">
        <v>0</v>
      </c>
      <c r="AC408">
        <v>0</v>
      </c>
      <c r="AD408">
        <v>1</v>
      </c>
      <c r="AE408">
        <v>0</v>
      </c>
      <c r="AF408" t="s">
        <v>3</v>
      </c>
      <c r="AG408">
        <v>0.06</v>
      </c>
      <c r="AH408">
        <v>3</v>
      </c>
      <c r="AI408">
        <v>-1</v>
      </c>
      <c r="AJ408" t="s">
        <v>3</v>
      </c>
      <c r="AK408">
        <v>0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0</v>
      </c>
      <c r="AR408">
        <v>0</v>
      </c>
    </row>
    <row r="409" spans="1:44" x14ac:dyDescent="0.2">
      <c r="A409">
        <f>ROW(Source!A678)</f>
        <v>678</v>
      </c>
      <c r="B409">
        <v>1471745658</v>
      </c>
      <c r="C409">
        <v>1471664683</v>
      </c>
      <c r="D409">
        <v>1441819193</v>
      </c>
      <c r="E409">
        <v>15514512</v>
      </c>
      <c r="F409">
        <v>1</v>
      </c>
      <c r="G409">
        <v>15514512</v>
      </c>
      <c r="H409">
        <v>1</v>
      </c>
      <c r="I409" t="s">
        <v>401</v>
      </c>
      <c r="J409" t="s">
        <v>3</v>
      </c>
      <c r="K409" t="s">
        <v>402</v>
      </c>
      <c r="L409">
        <v>1191</v>
      </c>
      <c r="N409">
        <v>1013</v>
      </c>
      <c r="O409" t="s">
        <v>403</v>
      </c>
      <c r="P409" t="s">
        <v>403</v>
      </c>
      <c r="Q409">
        <v>1</v>
      </c>
      <c r="X409">
        <v>0.33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1</v>
      </c>
      <c r="AE409">
        <v>1</v>
      </c>
      <c r="AF409" t="s">
        <v>3</v>
      </c>
      <c r="AG409">
        <v>0.33</v>
      </c>
      <c r="AH409">
        <v>3</v>
      </c>
      <c r="AI409">
        <v>-1</v>
      </c>
      <c r="AJ409" t="s">
        <v>3</v>
      </c>
      <c r="AK409">
        <v>0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0</v>
      </c>
      <c r="AR409">
        <v>0</v>
      </c>
    </row>
    <row r="410" spans="1:44" x14ac:dyDescent="0.2">
      <c r="A410">
        <f>ROW(Source!A679)</f>
        <v>679</v>
      </c>
      <c r="B410">
        <v>1471745659</v>
      </c>
      <c r="C410">
        <v>1471664687</v>
      </c>
      <c r="D410">
        <v>1441819193</v>
      </c>
      <c r="E410">
        <v>15514512</v>
      </c>
      <c r="F410">
        <v>1</v>
      </c>
      <c r="G410">
        <v>15514512</v>
      </c>
      <c r="H410">
        <v>1</v>
      </c>
      <c r="I410" t="s">
        <v>401</v>
      </c>
      <c r="J410" t="s">
        <v>3</v>
      </c>
      <c r="K410" t="s">
        <v>402</v>
      </c>
      <c r="L410">
        <v>1191</v>
      </c>
      <c r="N410">
        <v>1013</v>
      </c>
      <c r="O410" t="s">
        <v>403</v>
      </c>
      <c r="P410" t="s">
        <v>403</v>
      </c>
      <c r="Q410">
        <v>1</v>
      </c>
      <c r="X410">
        <v>11.1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1</v>
      </c>
      <c r="AE410">
        <v>1</v>
      </c>
      <c r="AF410" t="s">
        <v>3</v>
      </c>
      <c r="AG410">
        <v>11.1</v>
      </c>
      <c r="AH410">
        <v>3</v>
      </c>
      <c r="AI410">
        <v>-1</v>
      </c>
      <c r="AJ410" t="s">
        <v>3</v>
      </c>
      <c r="AK410">
        <v>0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0</v>
      </c>
      <c r="AR410">
        <v>0</v>
      </c>
    </row>
    <row r="411" spans="1:44" x14ac:dyDescent="0.2">
      <c r="A411">
        <f>ROW(Source!A679)</f>
        <v>679</v>
      </c>
      <c r="B411">
        <v>1471745660</v>
      </c>
      <c r="C411">
        <v>1471664687</v>
      </c>
      <c r="D411">
        <v>1441836237</v>
      </c>
      <c r="E411">
        <v>1</v>
      </c>
      <c r="F411">
        <v>1</v>
      </c>
      <c r="G411">
        <v>15514512</v>
      </c>
      <c r="H411">
        <v>3</v>
      </c>
      <c r="I411" t="s">
        <v>448</v>
      </c>
      <c r="J411" t="s">
        <v>449</v>
      </c>
      <c r="K411" t="s">
        <v>450</v>
      </c>
      <c r="L411">
        <v>1346</v>
      </c>
      <c r="N411">
        <v>1009</v>
      </c>
      <c r="O411" t="s">
        <v>411</v>
      </c>
      <c r="P411" t="s">
        <v>411</v>
      </c>
      <c r="Q411">
        <v>1</v>
      </c>
      <c r="X411">
        <v>0.06</v>
      </c>
      <c r="Y411">
        <v>375.16</v>
      </c>
      <c r="Z411">
        <v>0</v>
      </c>
      <c r="AA411">
        <v>0</v>
      </c>
      <c r="AB411">
        <v>0</v>
      </c>
      <c r="AC411">
        <v>0</v>
      </c>
      <c r="AD411">
        <v>1</v>
      </c>
      <c r="AE411">
        <v>0</v>
      </c>
      <c r="AF411" t="s">
        <v>3</v>
      </c>
      <c r="AG411">
        <v>0.06</v>
      </c>
      <c r="AH411">
        <v>3</v>
      </c>
      <c r="AI411">
        <v>-1</v>
      </c>
      <c r="AJ411" t="s">
        <v>3</v>
      </c>
      <c r="AK411">
        <v>0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0</v>
      </c>
      <c r="AR411">
        <v>0</v>
      </c>
    </row>
    <row r="412" spans="1:44" x14ac:dyDescent="0.2">
      <c r="A412">
        <f>ROW(Source!A680)</f>
        <v>680</v>
      </c>
      <c r="B412">
        <v>1471745661</v>
      </c>
      <c r="C412">
        <v>1471664694</v>
      </c>
      <c r="D412">
        <v>1441819193</v>
      </c>
      <c r="E412">
        <v>15514512</v>
      </c>
      <c r="F412">
        <v>1</v>
      </c>
      <c r="G412">
        <v>15514512</v>
      </c>
      <c r="H412">
        <v>1</v>
      </c>
      <c r="I412" t="s">
        <v>401</v>
      </c>
      <c r="J412" t="s">
        <v>3</v>
      </c>
      <c r="K412" t="s">
        <v>402</v>
      </c>
      <c r="L412">
        <v>1191</v>
      </c>
      <c r="N412">
        <v>1013</v>
      </c>
      <c r="O412" t="s">
        <v>403</v>
      </c>
      <c r="P412" t="s">
        <v>403</v>
      </c>
      <c r="Q412">
        <v>1</v>
      </c>
      <c r="X412">
        <v>0.38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1</v>
      </c>
      <c r="AE412">
        <v>1</v>
      </c>
      <c r="AF412" t="s">
        <v>3</v>
      </c>
      <c r="AG412">
        <v>0.38</v>
      </c>
      <c r="AH412">
        <v>3</v>
      </c>
      <c r="AI412">
        <v>-1</v>
      </c>
      <c r="AJ412" t="s">
        <v>3</v>
      </c>
      <c r="AK412">
        <v>0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0</v>
      </c>
      <c r="AR412">
        <v>0</v>
      </c>
    </row>
    <row r="413" spans="1:44" x14ac:dyDescent="0.2">
      <c r="A413">
        <f>ROW(Source!A682)</f>
        <v>682</v>
      </c>
      <c r="B413">
        <v>1471745663</v>
      </c>
      <c r="C413">
        <v>1471664699</v>
      </c>
      <c r="D413">
        <v>1441819193</v>
      </c>
      <c r="E413">
        <v>15514512</v>
      </c>
      <c r="F413">
        <v>1</v>
      </c>
      <c r="G413">
        <v>15514512</v>
      </c>
      <c r="H413">
        <v>1</v>
      </c>
      <c r="I413" t="s">
        <v>401</v>
      </c>
      <c r="J413" t="s">
        <v>3</v>
      </c>
      <c r="K413" t="s">
        <v>402</v>
      </c>
      <c r="L413">
        <v>1191</v>
      </c>
      <c r="N413">
        <v>1013</v>
      </c>
      <c r="O413" t="s">
        <v>403</v>
      </c>
      <c r="P413" t="s">
        <v>403</v>
      </c>
      <c r="Q413">
        <v>1</v>
      </c>
      <c r="X413">
        <v>10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1</v>
      </c>
      <c r="AE413">
        <v>1</v>
      </c>
      <c r="AF413" t="s">
        <v>3</v>
      </c>
      <c r="AG413">
        <v>10</v>
      </c>
      <c r="AH413">
        <v>3</v>
      </c>
      <c r="AI413">
        <v>-1</v>
      </c>
      <c r="AJ413" t="s">
        <v>3</v>
      </c>
      <c r="AK413">
        <v>0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0</v>
      </c>
      <c r="AR413">
        <v>0</v>
      </c>
    </row>
    <row r="414" spans="1:44" x14ac:dyDescent="0.2">
      <c r="A414">
        <f>ROW(Source!A682)</f>
        <v>682</v>
      </c>
      <c r="B414">
        <v>1471745664</v>
      </c>
      <c r="C414">
        <v>1471664699</v>
      </c>
      <c r="D414">
        <v>1441836237</v>
      </c>
      <c r="E414">
        <v>1</v>
      </c>
      <c r="F414">
        <v>1</v>
      </c>
      <c r="G414">
        <v>15514512</v>
      </c>
      <c r="H414">
        <v>3</v>
      </c>
      <c r="I414" t="s">
        <v>448</v>
      </c>
      <c r="J414" t="s">
        <v>449</v>
      </c>
      <c r="K414" t="s">
        <v>450</v>
      </c>
      <c r="L414">
        <v>1346</v>
      </c>
      <c r="N414">
        <v>1009</v>
      </c>
      <c r="O414" t="s">
        <v>411</v>
      </c>
      <c r="P414" t="s">
        <v>411</v>
      </c>
      <c r="Q414">
        <v>1</v>
      </c>
      <c r="X414">
        <v>0.06</v>
      </c>
      <c r="Y414">
        <v>375.16</v>
      </c>
      <c r="Z414">
        <v>0</v>
      </c>
      <c r="AA414">
        <v>0</v>
      </c>
      <c r="AB414">
        <v>0</v>
      </c>
      <c r="AC414">
        <v>0</v>
      </c>
      <c r="AD414">
        <v>1</v>
      </c>
      <c r="AE414">
        <v>0</v>
      </c>
      <c r="AF414" t="s">
        <v>3</v>
      </c>
      <c r="AG414">
        <v>0.06</v>
      </c>
      <c r="AH414">
        <v>3</v>
      </c>
      <c r="AI414">
        <v>-1</v>
      </c>
      <c r="AJ414" t="s">
        <v>3</v>
      </c>
      <c r="AK414">
        <v>0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0</v>
      </c>
      <c r="AR414">
        <v>0</v>
      </c>
    </row>
    <row r="415" spans="1:44" x14ac:dyDescent="0.2">
      <c r="A415">
        <f>ROW(Source!A683)</f>
        <v>683</v>
      </c>
      <c r="B415">
        <v>1471745665</v>
      </c>
      <c r="C415">
        <v>1471664706</v>
      </c>
      <c r="D415">
        <v>1441819193</v>
      </c>
      <c r="E415">
        <v>15514512</v>
      </c>
      <c r="F415">
        <v>1</v>
      </c>
      <c r="G415">
        <v>15514512</v>
      </c>
      <c r="H415">
        <v>1</v>
      </c>
      <c r="I415" t="s">
        <v>401</v>
      </c>
      <c r="J415" t="s">
        <v>3</v>
      </c>
      <c r="K415" t="s">
        <v>402</v>
      </c>
      <c r="L415">
        <v>1191</v>
      </c>
      <c r="N415">
        <v>1013</v>
      </c>
      <c r="O415" t="s">
        <v>403</v>
      </c>
      <c r="P415" t="s">
        <v>403</v>
      </c>
      <c r="Q415">
        <v>1</v>
      </c>
      <c r="X415">
        <v>0.33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1</v>
      </c>
      <c r="AE415">
        <v>1</v>
      </c>
      <c r="AF415" t="s">
        <v>3</v>
      </c>
      <c r="AG415">
        <v>0.33</v>
      </c>
      <c r="AH415">
        <v>3</v>
      </c>
      <c r="AI415">
        <v>-1</v>
      </c>
      <c r="AJ415" t="s">
        <v>3</v>
      </c>
      <c r="AK415">
        <v>0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0</v>
      </c>
      <c r="AR415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ColWidth="9.140625" defaultRowHeight="12.75" x14ac:dyDescent="0.2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Y1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0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48718</v>
      </c>
      <c r="M1">
        <v>1045431799</v>
      </c>
      <c r="N1">
        <v>11</v>
      </c>
      <c r="O1">
        <v>12</v>
      </c>
      <c r="P1">
        <v>0</v>
      </c>
      <c r="Q1">
        <v>1</v>
      </c>
    </row>
    <row r="12" spans="1:103" x14ac:dyDescent="0.2">
      <c r="F12" t="str">
        <f>Source!F12</f>
        <v/>
      </c>
      <c r="G12" t="str">
        <f>Source!G12</f>
        <v>Фестивальная площадка_на 4 мес. (10%) испр.</v>
      </c>
      <c r="AB12" t="s">
        <v>3</v>
      </c>
      <c r="AC12" t="s">
        <v>3</v>
      </c>
      <c r="AD12" t="s">
        <v>3</v>
      </c>
      <c r="AE12" t="s">
        <v>3</v>
      </c>
      <c r="AH12" t="s">
        <v>3</v>
      </c>
      <c r="AI12" t="s">
        <v>3</v>
      </c>
      <c r="CY12">
        <f>Source!CY12</f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4</vt:i4>
      </vt:variant>
    </vt:vector>
  </HeadingPairs>
  <TitlesOfParts>
    <vt:vector size="12" baseType="lpstr">
      <vt:lpstr>Смета СН-2012 по гл. 1-5</vt:lpstr>
      <vt:lpstr>Акт КС-2 СН-2012 по гл. 1-</vt:lpstr>
      <vt:lpstr>Source</vt:lpstr>
      <vt:lpstr>SourceObSm</vt:lpstr>
      <vt:lpstr>SmtRes</vt:lpstr>
      <vt:lpstr>EtalonRes</vt:lpstr>
      <vt:lpstr>SrcPoprs</vt:lpstr>
      <vt:lpstr>SrcKA</vt:lpstr>
      <vt:lpstr>'Акт КС-2 СН-2012 по гл. 1-'!Заголовки_для_печати</vt:lpstr>
      <vt:lpstr>'Смета СН-2012 по гл. 1-5'!Заголовки_для_печати</vt:lpstr>
      <vt:lpstr>'Акт КС-2 СН-2012 по гл. 1-'!Область_печати</vt:lpstr>
      <vt:lpstr>'Смета СН-2012 по гл. 1-5'!Область_печати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Виктор</cp:lastModifiedBy>
  <dcterms:created xsi:type="dcterms:W3CDTF">2025-12-10T16:46:42Z</dcterms:created>
  <dcterms:modified xsi:type="dcterms:W3CDTF">2025-12-11T13:24:58Z</dcterms:modified>
</cp:coreProperties>
</file>